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36" windowWidth="20112" windowHeight="1548" activeTab="1"/>
  </bookViews>
  <sheets>
    <sheet name="Krycí list" sheetId="1" r:id="rId1"/>
    <sheet name="Rozpočet" sheetId="3" r:id="rId2"/>
  </sheets>
  <calcPr calcId="145621"/>
</workbook>
</file>

<file path=xl/calcChain.xml><?xml version="1.0" encoding="utf-8"?>
<calcChain xmlns="http://schemas.openxmlformats.org/spreadsheetml/2006/main">
  <c r="A53" i="3" l="1"/>
  <c r="A54" i="3" s="1"/>
  <c r="B15" i="1" l="1"/>
  <c r="B14" i="1"/>
  <c r="B13" i="1"/>
  <c r="E207" i="3"/>
  <c r="G207" i="3" s="1"/>
  <c r="E205" i="3"/>
  <c r="E206" i="3" s="1"/>
  <c r="G206" i="3" s="1"/>
  <c r="E202" i="3"/>
  <c r="E203" i="3" s="1"/>
  <c r="G203" i="3" s="1"/>
  <c r="E136" i="3"/>
  <c r="H201" i="3"/>
  <c r="E175" i="3"/>
  <c r="E179" i="3" s="1"/>
  <c r="E184" i="3" s="1"/>
  <c r="G184" i="3" s="1"/>
  <c r="E177" i="3"/>
  <c r="H177" i="3" s="1"/>
  <c r="E149" i="3"/>
  <c r="E150" i="3" s="1"/>
  <c r="E151" i="3" s="1"/>
  <c r="H151" i="3" s="1"/>
  <c r="E155" i="3"/>
  <c r="E159" i="3" s="1"/>
  <c r="E164" i="3" s="1"/>
  <c r="G164" i="3" s="1"/>
  <c r="E157" i="3"/>
  <c r="H157" i="3" s="1"/>
  <c r="G55" i="3"/>
  <c r="G82" i="3"/>
  <c r="G116" i="3"/>
  <c r="E42" i="3"/>
  <c r="E43" i="3" s="1"/>
  <c r="E44" i="3" s="1"/>
  <c r="H40" i="3"/>
  <c r="H41" i="3"/>
  <c r="E135" i="3"/>
  <c r="H135" i="3" s="1"/>
  <c r="E133" i="3"/>
  <c r="H133" i="3" s="1"/>
  <c r="E143" i="3"/>
  <c r="E134" i="3" l="1"/>
  <c r="G134" i="3" s="1"/>
  <c r="E156" i="3"/>
  <c r="G156" i="3" s="1"/>
  <c r="E187" i="3"/>
  <c r="H187" i="3" s="1"/>
  <c r="H205" i="3"/>
  <c r="E204" i="3"/>
  <c r="G204" i="3" s="1"/>
  <c r="H202" i="3"/>
  <c r="E139" i="3"/>
  <c r="H149" i="3"/>
  <c r="E167" i="3"/>
  <c r="H167" i="3" s="1"/>
  <c r="E165" i="3"/>
  <c r="E162" i="3"/>
  <c r="H155" i="3"/>
  <c r="E176" i="3"/>
  <c r="G176" i="3" s="1"/>
  <c r="E183" i="3"/>
  <c r="H183" i="3" s="1"/>
  <c r="E185" i="3"/>
  <c r="H185" i="3" s="1"/>
  <c r="E186" i="3"/>
  <c r="E193" i="3"/>
  <c r="E182" i="3"/>
  <c r="H179" i="3"/>
  <c r="H175" i="3"/>
  <c r="H43" i="3"/>
  <c r="E45" i="3"/>
  <c r="H45" i="3" s="1"/>
  <c r="H44" i="3"/>
  <c r="H42" i="3"/>
  <c r="G150" i="3"/>
  <c r="E152" i="3"/>
  <c r="H152" i="3" s="1"/>
  <c r="E144" i="3"/>
  <c r="E148" i="3"/>
  <c r="G130" i="3"/>
  <c r="H129" i="3"/>
  <c r="E120" i="3"/>
  <c r="G120" i="3" s="1"/>
  <c r="E131" i="3"/>
  <c r="H131" i="3" s="1"/>
  <c r="E125" i="3"/>
  <c r="E126" i="3" s="1"/>
  <c r="E124" i="3"/>
  <c r="G124" i="3" s="1"/>
  <c r="E121" i="3"/>
  <c r="H121" i="3" s="1"/>
  <c r="E119" i="3"/>
  <c r="H119" i="3" s="1"/>
  <c r="E118" i="3"/>
  <c r="G118" i="3" s="1"/>
  <c r="E117" i="3"/>
  <c r="H117" i="3" s="1"/>
  <c r="E115" i="3"/>
  <c r="H115" i="3" s="1"/>
  <c r="E114" i="3"/>
  <c r="G114" i="3" s="1"/>
  <c r="E113" i="3"/>
  <c r="E111" i="3" s="1"/>
  <c r="H111" i="3" s="1"/>
  <c r="H110" i="3"/>
  <c r="E101" i="3"/>
  <c r="G101" i="3" s="1"/>
  <c r="E93" i="3"/>
  <c r="E94" i="3" s="1"/>
  <c r="G94" i="3" s="1"/>
  <c r="E96" i="3"/>
  <c r="G96" i="3" s="1"/>
  <c r="E95" i="3"/>
  <c r="H95" i="3" s="1"/>
  <c r="E87" i="3"/>
  <c r="H87" i="3" s="1"/>
  <c r="E83" i="3"/>
  <c r="E84" i="3" s="1"/>
  <c r="E81" i="3"/>
  <c r="H81" i="3" s="1"/>
  <c r="E77" i="3"/>
  <c r="H77" i="3" s="1"/>
  <c r="E108" i="3"/>
  <c r="H108" i="3" s="1"/>
  <c r="E107" i="3"/>
  <c r="E106" i="3" s="1"/>
  <c r="H106" i="3" s="1"/>
  <c r="E104" i="3"/>
  <c r="H104" i="3" s="1"/>
  <c r="E103" i="3"/>
  <c r="G103" i="3" s="1"/>
  <c r="E102" i="3"/>
  <c r="H102" i="3" s="1"/>
  <c r="E100" i="3"/>
  <c r="G100" i="3" s="1"/>
  <c r="E99" i="3"/>
  <c r="H99" i="3" s="1"/>
  <c r="E98" i="3"/>
  <c r="G98" i="3" s="1"/>
  <c r="E97" i="3"/>
  <c r="H97" i="3" s="1"/>
  <c r="E76" i="3"/>
  <c r="E74" i="3" s="1"/>
  <c r="H74" i="3" s="1"/>
  <c r="H73" i="3"/>
  <c r="E67" i="3"/>
  <c r="H67" i="3" s="1"/>
  <c r="E71" i="3"/>
  <c r="E53" i="3"/>
  <c r="G53" i="3" s="1"/>
  <c r="E60" i="3"/>
  <c r="G60" i="3" s="1"/>
  <c r="E66" i="3"/>
  <c r="E52" i="3"/>
  <c r="E57" i="3"/>
  <c r="E56" i="3"/>
  <c r="E23" i="3"/>
  <c r="H23" i="3" s="1"/>
  <c r="E24" i="3"/>
  <c r="H208" i="3" l="1"/>
  <c r="C15" i="1" s="1"/>
  <c r="E197" i="3"/>
  <c r="E78" i="3"/>
  <c r="G78" i="3" s="1"/>
  <c r="E180" i="3"/>
  <c r="H180" i="3" s="1"/>
  <c r="G182" i="3"/>
  <c r="E181" i="3"/>
  <c r="H181" i="3" s="1"/>
  <c r="E191" i="3"/>
  <c r="H191" i="3" s="1"/>
  <c r="G193" i="3"/>
  <c r="E192" i="3"/>
  <c r="H192" i="3" s="1"/>
  <c r="E188" i="3"/>
  <c r="G186" i="3"/>
  <c r="E89" i="3"/>
  <c r="G89" i="3" s="1"/>
  <c r="H93" i="3"/>
  <c r="E68" i="3"/>
  <c r="E90" i="3"/>
  <c r="E88" i="3"/>
  <c r="G88" i="3" s="1"/>
  <c r="E127" i="3"/>
  <c r="H127" i="3" s="1"/>
  <c r="G126" i="3"/>
  <c r="E128" i="3"/>
  <c r="H128" i="3" s="1"/>
  <c r="G113" i="3"/>
  <c r="H125" i="3"/>
  <c r="E122" i="3"/>
  <c r="H122" i="3" s="1"/>
  <c r="E112" i="3"/>
  <c r="H112" i="3" s="1"/>
  <c r="E123" i="3"/>
  <c r="H123" i="3" s="1"/>
  <c r="G84" i="3"/>
  <c r="E85" i="3"/>
  <c r="H83" i="3"/>
  <c r="G107" i="3"/>
  <c r="E105" i="3"/>
  <c r="H105" i="3" s="1"/>
  <c r="E75" i="3"/>
  <c r="H75" i="3" s="1"/>
  <c r="G76" i="3"/>
  <c r="H24" i="3"/>
  <c r="E79" i="3" l="1"/>
  <c r="E80" i="3" s="1"/>
  <c r="H80" i="3" s="1"/>
  <c r="G188" i="3"/>
  <c r="E189" i="3"/>
  <c r="H189" i="3" s="1"/>
  <c r="E190" i="3"/>
  <c r="H190" i="3" s="1"/>
  <c r="H79" i="3"/>
  <c r="G68" i="3"/>
  <c r="E70" i="3"/>
  <c r="H70" i="3" s="1"/>
  <c r="E69" i="3"/>
  <c r="H69" i="3" s="1"/>
  <c r="E86" i="3"/>
  <c r="G85" i="3"/>
  <c r="G90" i="3"/>
  <c r="J131" i="3" l="1"/>
  <c r="G86" i="3"/>
  <c r="E91" i="3"/>
  <c r="H91" i="3" l="1"/>
  <c r="E92" i="3"/>
  <c r="H92" i="3" s="1"/>
  <c r="J108" i="3" l="1"/>
  <c r="E25" i="3" l="1"/>
  <c r="E26" i="3" s="1"/>
  <c r="E29" i="3"/>
  <c r="E28" i="3"/>
  <c r="E30" i="3" l="1"/>
  <c r="H30" i="3" s="1"/>
  <c r="H25" i="3"/>
  <c r="H26" i="3"/>
  <c r="E27" i="3"/>
  <c r="H27" i="3" s="1"/>
  <c r="E31" i="3"/>
  <c r="E32" i="3" s="1"/>
  <c r="E22" i="3"/>
  <c r="H22" i="3" s="1"/>
  <c r="E21" i="3"/>
  <c r="H21" i="3" s="1"/>
  <c r="E20" i="3"/>
  <c r="H20" i="3" s="1"/>
  <c r="E19" i="3"/>
  <c r="H19" i="3" s="1"/>
  <c r="H17" i="3"/>
  <c r="A16" i="3"/>
  <c r="A17" i="3" s="1"/>
  <c r="A18" i="3" s="1"/>
  <c r="A19" i="3" s="1"/>
  <c r="A20" i="3" s="1"/>
  <c r="A21" i="3" s="1"/>
  <c r="A22" i="3" s="1"/>
  <c r="A23" i="3" s="1"/>
  <c r="A24" i="3" s="1"/>
  <c r="A25" i="3" s="1"/>
  <c r="A26" i="3" s="1"/>
  <c r="H15" i="3"/>
  <c r="E39" i="3"/>
  <c r="E34" i="3"/>
  <c r="E35" i="3" s="1"/>
  <c r="A27" i="3" l="1"/>
  <c r="A28" i="3" s="1"/>
  <c r="A29" i="3" s="1"/>
  <c r="A30" i="3" s="1"/>
  <c r="A31" i="3" s="1"/>
  <c r="A32" i="3" s="1"/>
  <c r="A33" i="3" s="1"/>
  <c r="A34" i="3" s="1"/>
  <c r="A35" i="3" s="1"/>
  <c r="A36" i="3" s="1"/>
  <c r="A37" i="3" s="1"/>
  <c r="A38" i="3" s="1"/>
  <c r="A39" i="3" s="1"/>
  <c r="A40" i="3" s="1"/>
  <c r="A41" i="3" s="1"/>
  <c r="A42" i="3" s="1"/>
  <c r="A43" i="3" s="1"/>
  <c r="A44" i="3" s="1"/>
  <c r="A45" i="3" s="1"/>
  <c r="A49" i="3" s="1"/>
  <c r="A50" i="3" s="1"/>
  <c r="A51" i="3" s="1"/>
  <c r="A52" i="3" s="1"/>
  <c r="A55" i="3" s="1"/>
  <c r="A56" i="3" s="1"/>
  <c r="H39" i="3"/>
  <c r="H31" i="3"/>
  <c r="E33" i="3"/>
  <c r="H33" i="3" s="1"/>
  <c r="H32" i="3"/>
  <c r="E36" i="3"/>
  <c r="E37" i="3" s="1"/>
  <c r="H35" i="3"/>
  <c r="A57" i="3" l="1"/>
  <c r="A58" i="3" s="1"/>
  <c r="A59" i="3" s="1"/>
  <c r="A60" i="3" s="1"/>
  <c r="A61" i="3" s="1"/>
  <c r="A62" i="3" s="1"/>
  <c r="A63" i="3" s="1"/>
  <c r="A64" i="3" s="1"/>
  <c r="A65" i="3" s="1"/>
  <c r="A66" i="3" s="1"/>
  <c r="A67" i="3" s="1"/>
  <c r="A68" i="3" s="1"/>
  <c r="A69" i="3" s="1"/>
  <c r="A70" i="3" s="1"/>
  <c r="A71" i="3" s="1"/>
  <c r="A73" i="3" s="1"/>
  <c r="A74" i="3" s="1"/>
  <c r="A75" i="3" s="1"/>
  <c r="A76" i="3" s="1"/>
  <c r="A77" i="3" s="1"/>
  <c r="A78" i="3" s="1"/>
  <c r="A79" i="3" s="1"/>
  <c r="A80" i="3" s="1"/>
  <c r="A81" i="3" s="1"/>
  <c r="H36" i="3"/>
  <c r="H37" i="3"/>
  <c r="E38" i="3"/>
  <c r="H38" i="3" s="1"/>
  <c r="A82" i="3" l="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l="1"/>
  <c r="A110" i="3" s="1"/>
  <c r="A111" i="3" s="1"/>
  <c r="A112" i="3" s="1"/>
  <c r="A113" i="3" s="1"/>
  <c r="A114" i="3" s="1"/>
  <c r="A115" i="3" s="1"/>
  <c r="A116" i="3" s="1"/>
  <c r="A117" i="3" l="1"/>
  <c r="A118" i="3" s="1"/>
  <c r="A119" i="3" s="1"/>
  <c r="A120" i="3" s="1"/>
  <c r="A121" i="3" s="1"/>
  <c r="A122" i="3" s="1"/>
  <c r="A123" i="3" s="1"/>
  <c r="A124" i="3" s="1"/>
  <c r="A125" i="3" s="1"/>
  <c r="A126" i="3" s="1"/>
  <c r="A127" i="3" s="1"/>
  <c r="A128" i="3" s="1"/>
  <c r="A129" i="3" s="1"/>
  <c r="A130" i="3" s="1"/>
  <c r="A131" i="3" s="1"/>
  <c r="A133" i="3" l="1"/>
  <c r="A134" i="3" s="1"/>
  <c r="A135" i="3" l="1"/>
  <c r="A136" i="3" s="1"/>
  <c r="A137" i="3" s="1"/>
  <c r="A138" i="3" s="1"/>
  <c r="A139" i="3" s="1"/>
  <c r="A140" i="3" s="1"/>
  <c r="A141" i="3" l="1"/>
  <c r="A142" i="3" s="1"/>
  <c r="A143" i="3" s="1"/>
  <c r="A144" i="3" s="1"/>
  <c r="A145" i="3" s="1"/>
  <c r="A146" i="3" s="1"/>
  <c r="A147" i="3" s="1"/>
  <c r="A148" i="3" s="1"/>
  <c r="A149" i="3" s="1"/>
  <c r="A150" i="3" s="1"/>
  <c r="A151" i="3" s="1"/>
  <c r="A152" i="3" s="1"/>
  <c r="A153" i="3" s="1"/>
  <c r="A155" i="3" l="1"/>
  <c r="A156" i="3" s="1"/>
  <c r="A157" i="3" s="1"/>
  <c r="H16" i="3"/>
  <c r="A158" i="3" l="1"/>
  <c r="A159" i="3" s="1"/>
  <c r="A160" i="3" s="1"/>
  <c r="A161" i="3" s="1"/>
  <c r="A162" i="3" s="1"/>
  <c r="A163" i="3" s="1"/>
  <c r="A164" i="3" s="1"/>
  <c r="A165" i="3" s="1"/>
  <c r="A166" i="3" s="1"/>
  <c r="A167" i="3" s="1"/>
  <c r="A168" i="3" s="1"/>
  <c r="A169" i="3" s="1"/>
  <c r="A170" i="3" s="1"/>
  <c r="A171" i="3" s="1"/>
  <c r="A172" i="3" s="1"/>
  <c r="A173" i="3" s="1"/>
  <c r="A175" i="3" s="1"/>
  <c r="A176" i="3" s="1"/>
  <c r="A177" i="3" s="1"/>
  <c r="A178" i="3" l="1"/>
  <c r="A179" i="3" s="1"/>
  <c r="A180" i="3" s="1"/>
  <c r="A181" i="3" s="1"/>
  <c r="A182" i="3" s="1"/>
  <c r="A183" i="3" s="1"/>
  <c r="A184" i="3" s="1"/>
  <c r="A185" i="3" s="1"/>
  <c r="A186" i="3" s="1"/>
  <c r="A187" i="3" s="1"/>
  <c r="A188" i="3" s="1"/>
  <c r="A189" i="3" s="1"/>
  <c r="A190" i="3" s="1"/>
  <c r="A191" i="3" s="1"/>
  <c r="A192" i="3" s="1"/>
  <c r="A193" i="3" s="1"/>
  <c r="A195" i="3" s="1"/>
  <c r="A196" i="3" s="1"/>
  <c r="A197" i="3" s="1"/>
  <c r="A198" i="3" s="1"/>
  <c r="A201" i="3" s="1"/>
  <c r="A202" i="3" s="1"/>
  <c r="A205" i="3" l="1"/>
  <c r="A203" i="3"/>
  <c r="A204" i="3" l="1"/>
  <c r="A206" i="3"/>
  <c r="A207" i="3" s="1"/>
  <c r="E59" i="3" l="1"/>
  <c r="G59" i="3" s="1"/>
  <c r="E58" i="3"/>
  <c r="H58" i="3" s="1"/>
  <c r="E62" i="3"/>
  <c r="G62" i="3" s="1"/>
  <c r="E61" i="3"/>
  <c r="H61" i="3" s="1"/>
  <c r="E173" i="3" l="1"/>
  <c r="E178" i="3" s="1"/>
  <c r="G178" i="3" s="1"/>
  <c r="E153" i="3"/>
  <c r="H71" i="3"/>
  <c r="E65" i="3"/>
  <c r="H65" i="3" s="1"/>
  <c r="E63" i="3"/>
  <c r="H63" i="3" s="1"/>
  <c r="G57" i="3"/>
  <c r="H56" i="3"/>
  <c r="E54" i="3"/>
  <c r="H54" i="3" s="1"/>
  <c r="E50" i="3"/>
  <c r="H50" i="3" s="1"/>
  <c r="H49" i="3"/>
  <c r="H153" i="3" l="1"/>
  <c r="E158" i="3"/>
  <c r="G158" i="3" s="1"/>
  <c r="E51" i="3"/>
  <c r="H51" i="3" s="1"/>
  <c r="G52" i="3"/>
  <c r="E196" i="3"/>
  <c r="H196" i="3" s="1"/>
  <c r="E64" i="3"/>
  <c r="H64" i="3" s="1"/>
  <c r="E171" i="3"/>
  <c r="H171" i="3" s="1"/>
  <c r="E172" i="3"/>
  <c r="H172" i="3" s="1"/>
  <c r="G173" i="3"/>
  <c r="G144" i="3"/>
  <c r="E166" i="3"/>
  <c r="G66" i="3"/>
  <c r="H136" i="3"/>
  <c r="H159" i="3"/>
  <c r="E140" i="3"/>
  <c r="E163" i="3"/>
  <c r="H163" i="3" s="1"/>
  <c r="H143" i="3"/>
  <c r="E145" i="3"/>
  <c r="H145" i="3" s="1"/>
  <c r="E160" i="3"/>
  <c r="H165" i="3"/>
  <c r="H140" i="3" l="1"/>
  <c r="E142" i="3"/>
  <c r="G142" i="3" s="1"/>
  <c r="E141" i="3"/>
  <c r="G141" i="3" s="1"/>
  <c r="G166" i="3"/>
  <c r="E168" i="3"/>
  <c r="E169" i="3" s="1"/>
  <c r="H169" i="3" s="1"/>
  <c r="J71" i="3"/>
  <c r="D15" i="1"/>
  <c r="E15" i="1" s="1"/>
  <c r="E195" i="3"/>
  <c r="H195" i="3" s="1"/>
  <c r="G197" i="3"/>
  <c r="E147" i="3"/>
  <c r="H147" i="3" s="1"/>
  <c r="G148" i="3"/>
  <c r="E146" i="3"/>
  <c r="H146" i="3" s="1"/>
  <c r="E137" i="3"/>
  <c r="H137" i="3" s="1"/>
  <c r="E138" i="3"/>
  <c r="H138" i="3" s="1"/>
  <c r="G139" i="3"/>
  <c r="H160" i="3"/>
  <c r="E161" i="3"/>
  <c r="H161" i="3" s="1"/>
  <c r="G162" i="3"/>
  <c r="G168" i="3" l="1"/>
  <c r="H199" i="3" s="1"/>
  <c r="C14" i="1" s="1"/>
  <c r="E170" i="3"/>
  <c r="H170" i="3" s="1"/>
  <c r="J153" i="3"/>
  <c r="H198" i="3"/>
  <c r="D14" i="1" l="1"/>
  <c r="E14" i="1" s="1"/>
  <c r="H18" i="3" l="1"/>
  <c r="H34" i="3" l="1"/>
  <c r="H29" i="3" l="1"/>
  <c r="H28" i="3" l="1"/>
  <c r="H46" i="3" s="1"/>
  <c r="C13" i="1" l="1"/>
  <c r="C16" i="1" s="1"/>
  <c r="F210" i="3"/>
  <c r="D13" i="1" l="1"/>
  <c r="D16" i="1" s="1"/>
  <c r="E16" i="1" s="1"/>
  <c r="E13" i="1" l="1"/>
</calcChain>
</file>

<file path=xl/sharedStrings.xml><?xml version="1.0" encoding="utf-8"?>
<sst xmlns="http://schemas.openxmlformats.org/spreadsheetml/2006/main" count="623" uniqueCount="206">
  <si>
    <t>akce:</t>
  </si>
  <si>
    <t>katastrální území:</t>
  </si>
  <si>
    <t>investor:</t>
  </si>
  <si>
    <t>zpracovatel:</t>
  </si>
  <si>
    <t>Ing. Tereza Friedlová</t>
  </si>
  <si>
    <t>datum zpracování:</t>
  </si>
  <si>
    <t>realizační objekt</t>
  </si>
  <si>
    <t>cena bez DPH</t>
  </si>
  <si>
    <t>cena s DPH</t>
  </si>
  <si>
    <t>celkem za realizaci</t>
  </si>
  <si>
    <t>KRYCÍ  LIST</t>
  </si>
  <si>
    <t xml:space="preserve">                       Položka</t>
  </si>
  <si>
    <t>množství</t>
  </si>
  <si>
    <t>jednotková cena/ Kč</t>
  </si>
  <si>
    <t>cena celkem/ Kč</t>
  </si>
  <si>
    <t>pořadové číslo</t>
  </si>
  <si>
    <t>číslo položky dle ceníku</t>
  </si>
  <si>
    <t>zkrácený popis položky</t>
  </si>
  <si>
    <t>m.j.</t>
  </si>
  <si>
    <t>dodávka</t>
  </si>
  <si>
    <t>montáž</t>
  </si>
  <si>
    <t>*</t>
  </si>
  <si>
    <t>ks</t>
  </si>
  <si>
    <t>specifikace</t>
  </si>
  <si>
    <t>t</t>
  </si>
  <si>
    <t>Celkem za realizaci bez DPH</t>
  </si>
  <si>
    <t>příprava území</t>
  </si>
  <si>
    <t>Mezisoučet - příprava území</t>
  </si>
  <si>
    <t>technologie</t>
  </si>
  <si>
    <t>projektant:</t>
  </si>
  <si>
    <t>zpracoval:</t>
  </si>
  <si>
    <t>DPH 21 % za realizaci</t>
  </si>
  <si>
    <t>POLOŽKOVÝ  ROZPOČET</t>
  </si>
  <si>
    <t>111 30-1111</t>
  </si>
  <si>
    <t>m</t>
  </si>
  <si>
    <t>184 80-2111</t>
  </si>
  <si>
    <t>vegetační úpravy</t>
  </si>
  <si>
    <t>Mezisoučet - vegetační úpravy</t>
  </si>
  <si>
    <t>185 85-1111</t>
  </si>
  <si>
    <t>dovoz vody pro zálivku rostlin na vzdálenost do 6 000 m</t>
  </si>
  <si>
    <t>185 80-4311</t>
  </si>
  <si>
    <t>zálivková voda (50 l/ 1 ks)</t>
  </si>
  <si>
    <t>184 10-2111</t>
  </si>
  <si>
    <t>185 80-2114</t>
  </si>
  <si>
    <t>hnojení výsadbové jamky granulovaným kravským/ koňským hnojem</t>
  </si>
  <si>
    <t>granulovaný kravský/ koňský hnůj</t>
  </si>
  <si>
    <t>kg</t>
  </si>
  <si>
    <t>realizace kořenové mísy d=0,5 m kolem kmínku</t>
  </si>
  <si>
    <t>184 80-6111</t>
  </si>
  <si>
    <t>aplikace výchovného, popř. zdravotního řezu</t>
  </si>
  <si>
    <t>183 10-1111</t>
  </si>
  <si>
    <t>zálivková voda (10 l/ 1 ks)</t>
  </si>
  <si>
    <t>výsadba keře s balem v rovině při průměru balu přes 100 do 200 mm</t>
  </si>
  <si>
    <t>zálivková voda (5 l/ 1 ks)</t>
  </si>
  <si>
    <t>183 20-4115</t>
  </si>
  <si>
    <t>výsadba byliny hrnkované</t>
  </si>
  <si>
    <t>184 92-1093</t>
  </si>
  <si>
    <t>mulčovací štěpka</t>
  </si>
  <si>
    <t>rostlinný materiál</t>
  </si>
  <si>
    <t>dovoz vody pro zálivku rostlin-popínavé rostliny, byliny, bylinky, okrasné traviny na vzdálenost do 6 000 m</t>
  </si>
  <si>
    <t>184 80-4111</t>
  </si>
  <si>
    <t>ochrana dřevin proti výparu - instalace rákosové chráničky</t>
  </si>
  <si>
    <t>Dačice</t>
  </si>
  <si>
    <t>Město Dačice, Krajířova č. 27, 380 13 Dačice</t>
  </si>
  <si>
    <t>generální projektant:</t>
  </si>
  <si>
    <t>Ing. arch. Pavel Kučera, projektová činnost ve výstavbě, Antonínská 15/ II, 380 01 Dačice</t>
  </si>
  <si>
    <t>atelire 6 senses s. r. o., Lučiny č. 1353/ 21, 627 00 Brno-Slatina</t>
  </si>
  <si>
    <t>odpovědný projektant SO:</t>
  </si>
  <si>
    <t>III/2016</t>
  </si>
  <si>
    <t>ochranná opatření</t>
  </si>
  <si>
    <t>Mezisoučet - ochranná opatření</t>
  </si>
  <si>
    <t>112 15-1111</t>
  </si>
  <si>
    <t>112 15-1312</t>
  </si>
  <si>
    <t>112 15-1356</t>
  </si>
  <si>
    <t>VII/2016</t>
  </si>
  <si>
    <t>112 20-1111</t>
  </si>
  <si>
    <t>112 20-1112</t>
  </si>
  <si>
    <t>112 20-1113</t>
  </si>
  <si>
    <t>112 20-1116</t>
  </si>
  <si>
    <r>
      <t>m</t>
    </r>
    <r>
      <rPr>
        <vertAlign val="superscript"/>
        <sz val="10"/>
        <rFont val="ISOCPEUR"/>
        <family val="2"/>
        <charset val="238"/>
      </rPr>
      <t>2</t>
    </r>
  </si>
  <si>
    <r>
      <t>m</t>
    </r>
    <r>
      <rPr>
        <vertAlign val="superscript"/>
        <sz val="10"/>
        <rFont val="ISOCPEUR"/>
        <family val="2"/>
        <charset val="238"/>
      </rPr>
      <t>3</t>
    </r>
  </si>
  <si>
    <r>
      <t>zalití rostlin vodou, plochy jednotlivě do 20 m</t>
    </r>
    <r>
      <rPr>
        <vertAlign val="superscript"/>
        <sz val="10"/>
        <rFont val="ISOCPEUR"/>
        <family val="2"/>
        <charset val="238"/>
      </rPr>
      <t>2</t>
    </r>
  </si>
  <si>
    <r>
      <t>zalití rostlin vodou do kořenové mísy, plochy jednotlivě do 20 m</t>
    </r>
    <r>
      <rPr>
        <vertAlign val="superscript"/>
        <sz val="10"/>
        <rFont val="ISOCPEUR"/>
        <family val="2"/>
        <charset val="238"/>
      </rPr>
      <t>2</t>
    </r>
  </si>
  <si>
    <r>
      <t>hloubení jamky pro výsadbu keře listnatého okrasného v hornině 1 až 4 bez výměny půdy v rovině s objemem do 0,01 m</t>
    </r>
    <r>
      <rPr>
        <vertAlign val="superscript"/>
        <sz val="10"/>
        <rFont val="ISOCPEUR"/>
        <family val="2"/>
        <charset val="238"/>
      </rPr>
      <t>3</t>
    </r>
  </si>
  <si>
    <t>111 21-2215</t>
  </si>
  <si>
    <t>pokácení stromu směrové v celku s odřezáním kmene a s odvětvením průměru kmene přes 100 do 200 mm na řezné ploše pařezu, vč. nákladů na odklizení části kmene a větví na vzdálenost do 20 m se složením na hromady nebo naložením na dopravní prostředek (K17)</t>
  </si>
  <si>
    <t>pokácení stromu směrové v celku s odřezáním kmene a s odvětvením průměru kmene přes 200 do 300 mm na řezné ploše pařezu, vč. nákladů na odklizení části kmene a větví na vzdálenost do 20 m se složením na hromady nebo naložením na dopravní prostředek (4)</t>
  </si>
  <si>
    <t>pokácení stromu směrové v celku s odřezáním kmene a s odvětvením průměru kmene přes 300 do 400 mm na řezné ploše pařezu, vč. nákladů na odklizení části kmene a větví na vzdálenost do 20 m se složením na hromady nebo naložením na dopravní prostředek (1, 2, 3, 5)</t>
  </si>
  <si>
    <t>pokácení stromu postupné se spouštěním částí kmene a koruny o průměru na řezné ploše pařezu přes 600 do 700 mm, vč. nákladů na odklizení části kmene a větví na vzdálenost do 20 m se složením na hromady nebo naložením na dopravní prostředek (7)</t>
  </si>
  <si>
    <r>
      <t>odstranění nevhodných dřevin (živého plotu) s průměrem kmene do 100 mm výšky do 1 000 mm vč. odstrnění pařezu přes 100 do 500 m</t>
    </r>
    <r>
      <rPr>
        <vertAlign val="superscript"/>
        <sz val="10"/>
        <rFont val="ISOCPEUR"/>
        <family val="2"/>
        <charset val="238"/>
      </rPr>
      <t>2</t>
    </r>
    <r>
      <rPr>
        <sz val="10"/>
        <rFont val="ISOCPEUR"/>
        <family val="2"/>
        <charset val="238"/>
      </rPr>
      <t>, vč. nákladů na odklizení vytěžené hmoty na vzdálenost do 50 m, se složením na hromady nebo s naložením na dopravní prostředek a urovnáním a úpravou terénu se zhutněním po odstranění dřevin, v rovině nebo na svahu do 1 : 5, vč. 5 % odchylky zaměření (SK7, SK8, SK9, SK10, SK27, SK28, SK29, SK30)</t>
    </r>
  </si>
  <si>
    <t>111 21-2351</t>
  </si>
  <si>
    <r>
      <t>odstranění nevhodných dřevin (individuální keře a keřové skupiny) s průměrem kmene do 100 mm výšky nad 1 000 mm vč. odstrnění pařezu do 100 m</t>
    </r>
    <r>
      <rPr>
        <vertAlign val="superscript"/>
        <sz val="10"/>
        <rFont val="ISOCPEUR"/>
        <family val="2"/>
        <charset val="238"/>
      </rPr>
      <t>2</t>
    </r>
    <r>
      <rPr>
        <sz val="10"/>
        <rFont val="ISOCPEUR"/>
        <family val="2"/>
        <charset val="238"/>
      </rPr>
      <t>, vč. nákladů na odklizení vytěžené hmoty na vzdálenost do 50 m, se složením na hromady nebo s naložením na dopravní prostředek a urovnáním a úpravou terénu se zhutněním po odstranění dřevin, v rovině nebo na svahu do 1 : 5, vč. 5 % odchylky zaměření (K1, K2, K3, K4, K5, K6, K11, K12, K13, K14, K15, K16, SK18, SK19, SK20, K21, K22, K23, K24, K25, K26)</t>
    </r>
  </si>
  <si>
    <t>979 08-7112</t>
  </si>
  <si>
    <r>
      <t>m</t>
    </r>
    <r>
      <rPr>
        <vertAlign val="superscript"/>
        <sz val="10"/>
        <color indexed="8"/>
        <rFont val="ISOCPEUR"/>
        <family val="2"/>
        <charset val="238"/>
      </rPr>
      <t>3</t>
    </r>
  </si>
  <si>
    <t>979 08-3509</t>
  </si>
  <si>
    <t>odvoz biologicky rozložitelného odpadu na kompostárnu do vzdálenosti 1 km</t>
  </si>
  <si>
    <t>997 01-3509</t>
  </si>
  <si>
    <t>příplatek za každý 1 km</t>
  </si>
  <si>
    <t>-</t>
  </si>
  <si>
    <t>nakládání biologicky rozložitelného odpadu, vč. 3 % ztratného</t>
  </si>
  <si>
    <t>odstranění květinových výsadeb z trvalek do hloubky 100 mm, vč. nákladů na vyčištění ploch se složením odpadu na hromady nebo naložením na dopravní prostředek, odvozem do 20 km a 5 % odchylky měření</t>
  </si>
  <si>
    <t>sejmutí drnu tl. do 100 mm, vč. nákladů na nařezání, vyrýpnutí, vyzvednutí, přemístění a složení sejmutého drnu nebo naložením na dopravní prostředek na vzdálenost do 50 m, vč. 5 % odchylky měření</t>
  </si>
  <si>
    <t>998 23-1411</t>
  </si>
  <si>
    <t>přesun hmot pro sadovnické a krajinářské úpravybez užití mechanizace vodorovná dopravní vzdálenost do 100 m, vč. 3 % ztratného</t>
  </si>
  <si>
    <t>odstranění pařezu v rovině nebo na svahu do 1 : 5 o průměru pařezu na řezné ploše přes 600 do 700 mm do hloubky 200 mm, vč. nákladů na odstranění náběhových kořenů, odklizení získaného dřeva na vzdálenost do 20 m, jeho složení na hromady nebo naložení na dopravní prostředek, zeminy, zasypání jámy, doplnění zeminy, zhutnění a úprava terénu</t>
  </si>
  <si>
    <t>odstranění pařezu v rovině nebo na svahu do 1 : 5 o průměru pařezu na řezné ploše přes 300 do 400 mm do hloubky 200 mm, vč. nákladů na odstranění náběhových kořenů, odklizení získaného dřeva na vzdálenost do 20 m, jeho složení na hromady nebo naložení na dopravní prostředek, zeminy, zasypání jámy, doplnění zeminy, zhutnění a úprava terénu</t>
  </si>
  <si>
    <t>odstranění pařezu v rovině nebo na svahu do 1 : 5 o průměru pařezu na řezné ploše přes 200 do 300 mm do hloubky 200 mm, vč. nákladů na odstranění náběhových kořenů, odklizení získaného dřeva na vzdálenost do 20 m, jeho složení na hromady nebo naložení na dopravní prostředek, zeminy, zasypání jámy, doplnění zeminy, zhutnění a úprava terénu</t>
  </si>
  <si>
    <t>odstranění pařezu v rovině nebo na svahu do 1 : 5 o průměru pařezu na řezné ploše do 200 mm do hloubky 200 mm, vč. nákladů na odstranění náběhových kořenů, odklizení získaného dřeva na vzdálenost do 20 m, jeho složení na hromady nebo naložení na dopravní prostředek, zeminy, zasypání jámy, doplnění zeminy, zhutnění a úprava terénu</t>
  </si>
  <si>
    <t>poplatek za uložení biologicky rozložitelného odpadu</t>
  </si>
  <si>
    <t>výsadba stromu do záhonu</t>
  </si>
  <si>
    <t>183 10-1314</t>
  </si>
  <si>
    <r>
      <t>hloubení jamky pro výsadbu stromu listnatého v hornině 1 až 4 s výměnou půdy ze 100 % v rovině nebo na svahu do 1 : 5 objemu přes 0,05 do 0,125 m</t>
    </r>
    <r>
      <rPr>
        <vertAlign val="superscript"/>
        <sz val="10"/>
        <rFont val="ISOCPEUR"/>
        <family val="2"/>
        <charset val="238"/>
      </rPr>
      <t>3</t>
    </r>
  </si>
  <si>
    <t xml:space="preserve">hnojení půdy umělým hnojivem s rozdělením k jednotlivým rostlinám v rovině a svahu do 1 : 5 (10 x 12 g)   </t>
  </si>
  <si>
    <t>251 91-1551</t>
  </si>
  <si>
    <t>hnojivo tabletové s postupným uvolňováním živin, vč. 3 % ztratného  (10 x 12 g)</t>
  </si>
  <si>
    <t>aplikace komparativního/ výchovného řezu</t>
  </si>
  <si>
    <t>zálivková voda (20 l/ 1 ks)</t>
  </si>
  <si>
    <t>184 21-5133</t>
  </si>
  <si>
    <t>184 21-5412</t>
  </si>
  <si>
    <t>zahradní substrát, vč. 3 % ztratného</t>
  </si>
  <si>
    <t>příplatek za 1 km (předpokládaná vzdálenost 15 km)</t>
  </si>
  <si>
    <t>184 91-1421</t>
  </si>
  <si>
    <t>dovoz dřevní štěpky do vzdálenosti 1 km</t>
  </si>
  <si>
    <t xml:space="preserve">organický mulč (dřevní štěpka bílá, jádrová + 3 % ztratné)   </t>
  </si>
  <si>
    <t>výsadba živého plotu</t>
  </si>
  <si>
    <t>183 10-1321</t>
  </si>
  <si>
    <r>
      <t>hloubení jamky pro výsadbu stromu listnatého v hornině 1 až 4 s výměnou půdy ze 100 % v rovině nebo na svahu do 1 : 5 objemu přes 0,40 do 1,00 m</t>
    </r>
    <r>
      <rPr>
        <vertAlign val="superscript"/>
        <sz val="10"/>
        <rFont val="ISOCPEUR"/>
        <family val="2"/>
        <charset val="238"/>
      </rPr>
      <t>3</t>
    </r>
  </si>
  <si>
    <t>příčníky impregnované, půlkulatina (12 ks/ 1 strom - 1 řada horní hrana, 3 řady spodní část kotvení, vzájemné rozestupy řad 200 mm)</t>
  </si>
  <si>
    <r>
      <t>m</t>
    </r>
    <r>
      <rPr>
        <vertAlign val="superscript"/>
        <sz val="10"/>
        <color theme="1"/>
        <rFont val="ISOCPEUR"/>
        <family val="2"/>
        <charset val="238"/>
      </rPr>
      <t>3</t>
    </r>
  </si>
  <si>
    <t>štěrkopísek, vč. 3 % ztratného</t>
  </si>
  <si>
    <t>rozprostření štěrkopísku na dno výsadbové jámy (vrstva 150 mm)</t>
  </si>
  <si>
    <t>dovoz sypkých stavebních hmot a zeminy do vzdálenosti 1 km</t>
  </si>
  <si>
    <t>184 10-2114</t>
  </si>
  <si>
    <t>výsadba stromu vysokokmene s balem v rovině nebo ve svahu do 1 : 5 při průměru balu přes 400 do 500 mm</t>
  </si>
  <si>
    <t>bm</t>
  </si>
  <si>
    <t>kus</t>
  </si>
  <si>
    <t>písek fr. 0-3 (20 % objemu), vč. 3 % ztratného</t>
  </si>
  <si>
    <t>smíchání, rozvrstvení a ruční hutnění substrátu - typ A (vrstva 400 mm)</t>
  </si>
  <si>
    <t>smíchání a rozvrstvení výsadbového substrátu - typ B (vrstva 600 mm)</t>
  </si>
  <si>
    <t>zahradní substrát (40 % objemu), vč. 3 % ztratného</t>
  </si>
  <si>
    <t>DK fr. 8-16 (40 % objemu), vč. 3 % ztratného</t>
  </si>
  <si>
    <t>spe</t>
  </si>
  <si>
    <t>kompost (40 % objemu), vč. 3 % ztratného</t>
  </si>
  <si>
    <t>usazení lemu z ocelové pásoviny (80 x 8 x 6 000 mm)</t>
  </si>
  <si>
    <t>ocelová pásovina (80 x 8 x 6 000 mm) vč. dilatačního zámku</t>
  </si>
  <si>
    <t>instalace závlahové sondy průměru Ø = 60 mm, délka d = 2 000 mm</t>
  </si>
  <si>
    <t>závlahová sonda vyplněná Liaporem fr. 8-16</t>
  </si>
  <si>
    <t>rákosová chránička výšky v = 2 000 mm</t>
  </si>
  <si>
    <t>kotvící kůly frézované, impregnované (3 ks/ 1 strom) délky d = 2 500 mm a průměru Ø = 100 mm</t>
  </si>
  <si>
    <t>ukotvení dřeviny 3 kůly v pravidelném trojsponu s ochranou proti poškození kmene v místě kontaktu dřeviny s kůlem, kůl délky nad 2 000 mm</t>
  </si>
  <si>
    <t>zhotovení závlahové mísy u solitérních dřevin v rovině nebo na svahu do 1 : 5, o průměru mísy Ø = 750 mm kolem kmínku</t>
  </si>
  <si>
    <t>rákosová chránička výšky 2 000 mm</t>
  </si>
  <si>
    <t xml:space="preserve">mulčování dřevní štěpkou tl. do 150 mm v rovině a svahu do 1 : 5   </t>
  </si>
  <si>
    <t>výsadba stromu do zpevněné plochy z dlažební kostky</t>
  </si>
  <si>
    <t>výsadba stromu do zpevněné plochy z mlatu</t>
  </si>
  <si>
    <r>
      <t>hloubení jamky pro výsadbu stromu jehličnatého v hornině 1 až 4 s výměnou půdy ze 100 % v rovině nebo na svahu do 1 : 5 objemu přes 0,05 do 0,125 m</t>
    </r>
    <r>
      <rPr>
        <vertAlign val="superscript"/>
        <sz val="10"/>
        <rFont val="ISOCPEUR"/>
        <family val="2"/>
        <charset val="238"/>
      </rPr>
      <t>3</t>
    </r>
  </si>
  <si>
    <t>výsadba stromu s balem v rovině nebo ve svahu do 1 : 5 při průměru balu přes 400 do 500 mm</t>
  </si>
  <si>
    <t>ukotvení dřeviny 2 kůly v protistojné diagonále s ochranou proti poškození kmene v místě kontaktu dřeviny s kůlem, kůl délky nad 2 000 mm</t>
  </si>
  <si>
    <t>184 21-5123</t>
  </si>
  <si>
    <t>ochranná litinová mříž kořenového systému</t>
  </si>
  <si>
    <t>výsadba okrasného záhonu</t>
  </si>
  <si>
    <t xml:space="preserve">mulčování dřevní štěpkou tl. do 100 mm v rovině a svahu do 1 : 5   </t>
  </si>
  <si>
    <t>litr</t>
  </si>
  <si>
    <t>183 20-5121</t>
  </si>
  <si>
    <t xml:space="preserve">herbicid totální (5 l/ ha + 3 % ztratné) </t>
  </si>
  <si>
    <t xml:space="preserve">založení záhonu v rovině a svahu do 1:5 na starém trávníku   </t>
  </si>
  <si>
    <r>
      <t>chemické odplevelení před založením kultury nad 20 m</t>
    </r>
    <r>
      <rPr>
        <vertAlign val="superscript"/>
        <sz val="10"/>
        <rFont val="ISOCPEUR"/>
        <family val="2"/>
        <charset val="238"/>
      </rPr>
      <t>2</t>
    </r>
    <r>
      <rPr>
        <sz val="10"/>
        <rFont val="ISOCPEUR"/>
        <family val="2"/>
        <charset val="238"/>
      </rPr>
      <t xml:space="preserve"> postřikem na široko v rovině a svahu do 1 : 5 (2 opakování)   </t>
    </r>
  </si>
  <si>
    <t>184 85-2232</t>
  </si>
  <si>
    <t>184 85-2217</t>
  </si>
  <si>
    <r>
      <t>řez stromů zdravotní prováděný lezeckou technikou, plocha koruny přes 180 do 210 m</t>
    </r>
    <r>
      <rPr>
        <vertAlign val="superscript"/>
        <sz val="10"/>
        <rFont val="ISOCPEUR"/>
        <family val="2"/>
        <charset val="238"/>
      </rPr>
      <t>2</t>
    </r>
    <r>
      <rPr>
        <sz val="10"/>
        <rFont val="ISOCPEUR"/>
        <family val="2"/>
        <charset val="238"/>
      </rPr>
      <t xml:space="preserve"> (10)</t>
    </r>
  </si>
  <si>
    <r>
      <t>řez stromů zdravotní prováděný lezeckou technikou, plocha koruny přes 570 m</t>
    </r>
    <r>
      <rPr>
        <vertAlign val="superscript"/>
        <sz val="10"/>
        <rFont val="ISOCPEUR"/>
        <family val="2"/>
        <charset val="238"/>
      </rPr>
      <t>2</t>
    </r>
    <r>
      <rPr>
        <sz val="10"/>
        <rFont val="ISOCPEUR"/>
        <family val="2"/>
        <charset val="238"/>
      </rPr>
      <t xml:space="preserve"> (9)</t>
    </r>
  </si>
  <si>
    <t>instalace ochranné mříže kořenového systému (na výškovou úroveň okolní dlažby)</t>
  </si>
  <si>
    <t>hnojivo tabletové s postupným uvolňováním živin, vč. 3 % ztratného  (1 x 12 g)</t>
  </si>
  <si>
    <t xml:space="preserve">hnojení půdy umělým hnojivem s rozdělením k jednotlivým rostlinám v rovině a svahu do 1 : 5 (1 x 12 g)   </t>
  </si>
  <si>
    <r>
      <rPr>
        <i/>
        <sz val="10"/>
        <rFont val="ISOCPEUR"/>
        <family val="2"/>
        <charset val="238"/>
      </rPr>
      <t>Carpinus betulus</t>
    </r>
    <r>
      <rPr>
        <sz val="10"/>
        <rFont val="ISOCPEUR"/>
        <family val="2"/>
        <charset val="238"/>
      </rPr>
      <t xml:space="preserve"> / habr obecný, výška v = 80 – 100 (jednotná výška pro všechny rostliny, zavětvení od kořenového náběhu pro založení živého plotu)</t>
    </r>
  </si>
  <si>
    <r>
      <rPr>
        <i/>
        <sz val="10"/>
        <rFont val="ISOCPEUR"/>
        <family val="2"/>
        <charset val="238"/>
      </rPr>
      <t>Cornus mas</t>
    </r>
    <r>
      <rPr>
        <sz val="10"/>
        <rFont val="ISOCPEUR"/>
        <family val="2"/>
        <charset val="238"/>
      </rPr>
      <t xml:space="preserve"> / dřín obecný, výška v =  80 – 100 (jednotná výška pro všechny rostliny, zavětvení od kořenového náběhu pro založení živého plotu)</t>
    </r>
  </si>
  <si>
    <t>kotvící kůly frézované, impregnované (2 ks/ 1 strom) délky d = 2 500 mm a průměru Ø = 100 mm</t>
  </si>
  <si>
    <r>
      <rPr>
        <i/>
        <sz val="10"/>
        <rFont val="ISOCPEUR"/>
        <family val="2"/>
        <charset val="238"/>
      </rPr>
      <t>Picea pungens</t>
    </r>
    <r>
      <rPr>
        <sz val="10"/>
        <rFont val="ISOCPEUR"/>
        <family val="2"/>
        <charset val="238"/>
      </rPr>
      <t xml:space="preserve"> ´Fat Albert´/ smrk pichlavý, výška v = 200 - 250, pravidelný, symetrický habitus, pravidelné větvení</t>
    </r>
  </si>
  <si>
    <r>
      <rPr>
        <i/>
        <sz val="10"/>
        <rFont val="ISOCPEUR"/>
        <family val="2"/>
        <charset val="238"/>
      </rPr>
      <t>Acer platanoides</t>
    </r>
    <r>
      <rPr>
        <sz val="10"/>
        <rFont val="ISOCPEUR"/>
        <family val="2"/>
        <charset val="238"/>
      </rPr>
      <t xml:space="preserve"> ´Emerald Queen´/ javor mléč, OK 14-16, VK s nasazením koruny ve výšce v = 200 cm (rovnoměrné a shodné u všech jedinců)</t>
    </r>
  </si>
  <si>
    <r>
      <rPr>
        <i/>
        <sz val="10"/>
        <rFont val="ISOCPEUR"/>
        <family val="2"/>
        <charset val="238"/>
      </rPr>
      <t xml:space="preserve">Aesculus x carnea </t>
    </r>
    <r>
      <rPr>
        <sz val="10"/>
        <rFont val="ISOCPEUR"/>
        <family val="2"/>
        <charset val="238"/>
      </rPr>
      <t>´Briotii´/ jírovec pleťový, OK 12-14, VK s nasazením koruny ve výšce v = 180 cm (rovnoměrné a shodné u všech jedinců)</t>
    </r>
  </si>
  <si>
    <t>183 11-1113</t>
  </si>
  <si>
    <r>
      <t>hloubení jamky pro výsadbu rostliny-popínavé rostliny, byliny, okrasné traviny v hornině 1 až 4 bez výměny půdy v rovině s objemem do 0,002 m</t>
    </r>
    <r>
      <rPr>
        <vertAlign val="superscript"/>
        <sz val="10"/>
        <rFont val="ISOCPEUR"/>
        <family val="2"/>
        <charset val="238"/>
      </rPr>
      <t>3</t>
    </r>
  </si>
  <si>
    <t>plošné mulčování v rovině při tloušťce do 100 mm</t>
  </si>
  <si>
    <t>mulčování dřevní štěpkou tl. do 100 mm v rovině a svahu do 1 : 5, pod instalovanou ochrannou mříží</t>
  </si>
  <si>
    <t xml:space="preserve">založení záhonu v rovině a svahu do 1:5 na starém trávníku, vč. 5 % odchylky měření   </t>
  </si>
  <si>
    <t>výsadba podrostového záhonu</t>
  </si>
  <si>
    <r>
      <t>chemické odplevelení před založením kultury nad 20 m</t>
    </r>
    <r>
      <rPr>
        <vertAlign val="superscript"/>
        <sz val="10"/>
        <rFont val="ISOCPEUR"/>
        <family val="2"/>
        <charset val="238"/>
      </rPr>
      <t>2</t>
    </r>
    <r>
      <rPr>
        <sz val="10"/>
        <rFont val="ISOCPEUR"/>
        <family val="2"/>
        <charset val="238"/>
      </rPr>
      <t xml:space="preserve"> postřikem na široko ve svahu do 1 : 2 (2 opakování)   </t>
    </r>
  </si>
  <si>
    <r>
      <t>hloubení jamky pro výsadbu rostliny-popínavé rostliny, byliny, okrasné traviny v hornině 1 až 4 bez výměny půdy ve svahu do 1 : 2 s objemem do 0,002 m</t>
    </r>
    <r>
      <rPr>
        <vertAlign val="superscript"/>
        <sz val="10"/>
        <rFont val="ISOCPEUR"/>
        <family val="2"/>
        <charset val="238"/>
      </rPr>
      <t>3</t>
    </r>
  </si>
  <si>
    <t>184 80-2211</t>
  </si>
  <si>
    <t>183 11-2128</t>
  </si>
  <si>
    <t>dokončovací péče</t>
  </si>
  <si>
    <t>opakování 9x/ do předání díla (celkem po výsadbě 10 zálivek)</t>
  </si>
  <si>
    <t>zálivková voda (25 l/ 1 ks)</t>
  </si>
  <si>
    <r>
      <t>zálivková voda (50 l/ 1 ks strom, 25 l/ 1 keř, 10 l/ 1 m</t>
    </r>
    <r>
      <rPr>
        <vertAlign val="superscript"/>
        <sz val="10"/>
        <rFont val="ISOCPEUR"/>
        <family val="2"/>
        <charset val="238"/>
      </rPr>
      <t>2</t>
    </r>
    <r>
      <rPr>
        <sz val="10"/>
        <rFont val="ISOCPEUR"/>
        <family val="2"/>
        <charset val="238"/>
      </rPr>
      <t xml:space="preserve"> záhonu)</t>
    </r>
  </si>
  <si>
    <t>ochrana stávajících dřevin v souladu s opatřeními definovanými TZ</t>
  </si>
  <si>
    <t>drátěné pletivo s hnědou antikorovou úpravou výšky v = 800 mm, vč. 3 % ztratného</t>
  </si>
  <si>
    <t>kovový sloupek s hnědou povrchovou antikorovou úpravou celková délka d = 1 500 mm (výšky v = 800 mm nad povrchem) o průměru Ø = 50 mm, vč. 3 % ztratného</t>
  </si>
  <si>
    <t>smrková frézovaná impregnovaná kulatina celkové délky d = 1 250 mm (výšky v = = 750 mm nad terénem,  o průměru Ø = 100 mm, vč. 3 % ztratného</t>
  </si>
  <si>
    <t>lano (z přírodních mteriálů, lněné) o průměru Ø = 30 mm, vč. 3 % ztratného, vč. 3 % ztratného</t>
  </si>
  <si>
    <t>instalace ochranného opatření pro okrasné smíšené a podrostové záhony (ochranný plůtek výsadeb výšky 750 mm), vč. 5 % odchylky měření</t>
  </si>
  <si>
    <t>instalace ochranného a stabilizačního prvku nových živých plotů (vysazovací vodící plůtek pro živý plot), vč. 5 % odchylky měření</t>
  </si>
  <si>
    <t>V jednotkové ceně musejí být zahrnuty veškeré náklady osobní a manipulační, které nejsou uvedeny v rozpočtu</t>
  </si>
  <si>
    <t>sadové úpravy</t>
  </si>
  <si>
    <t>v Brně, červenec/ 2016</t>
  </si>
  <si>
    <t>Revitalizace Kancnýřova sadu v Dačicích SO 02</t>
  </si>
  <si>
    <t>Revitalizace Kancnýřova sadu v Dačicích - SO 02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</si>
</sst>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Kč&quot;"/>
    <numFmt numFmtId="165" formatCode="#,##0.000"/>
    <numFmt numFmtId="166" formatCode="#,##0.0000"/>
  </numFmts>
  <fonts count="23">
    <font>
      <sz val="10"/>
      <color theme="1"/>
      <name val="Arial"/>
      <family val="2"/>
      <charset val="238"/>
    </font>
    <font>
      <sz val="10"/>
      <color indexed="8"/>
      <name val="Arial"/>
      <family val="2"/>
      <charset val="238"/>
    </font>
    <font>
      <sz val="10"/>
      <name val="Arial"/>
      <family val="2"/>
      <charset val="238"/>
    </font>
    <font>
      <sz val="11"/>
      <color theme="1"/>
      <name val="Calibri"/>
      <family val="2"/>
      <charset val="238"/>
      <scheme val="minor"/>
    </font>
    <font>
      <b/>
      <sz val="11"/>
      <color theme="1"/>
      <name val="ISOCPEUR"/>
      <family val="2"/>
      <charset val="238"/>
    </font>
    <font>
      <sz val="10"/>
      <color theme="1"/>
      <name val="ISOCPEUR"/>
      <family val="2"/>
      <charset val="238"/>
    </font>
    <font>
      <b/>
      <sz val="10"/>
      <color indexed="8"/>
      <name val="ISOCPEUR"/>
      <family val="2"/>
      <charset val="238"/>
    </font>
    <font>
      <b/>
      <sz val="10"/>
      <color theme="1"/>
      <name val="ISOCPEUR"/>
      <family val="2"/>
      <charset val="238"/>
    </font>
    <font>
      <sz val="10"/>
      <color indexed="8"/>
      <name val="ISOCPEUR"/>
      <family val="2"/>
      <charset val="238"/>
    </font>
    <font>
      <b/>
      <sz val="9"/>
      <color indexed="8"/>
      <name val="ISOCPEUR"/>
      <family val="2"/>
      <charset val="238"/>
    </font>
    <font>
      <sz val="12"/>
      <name val="ISOCPEUR"/>
      <family val="2"/>
      <charset val="238"/>
    </font>
    <font>
      <b/>
      <sz val="10"/>
      <name val="ISOCPEUR"/>
      <family val="2"/>
      <charset val="238"/>
    </font>
    <font>
      <sz val="10"/>
      <name val="ISOCPEUR"/>
      <family val="2"/>
      <charset val="238"/>
    </font>
    <font>
      <sz val="8"/>
      <name val="ISOCPEUR"/>
      <family val="2"/>
      <charset val="238"/>
    </font>
    <font>
      <b/>
      <i/>
      <sz val="8"/>
      <name val="ISOCPEUR"/>
      <family val="2"/>
      <charset val="238"/>
    </font>
    <font>
      <b/>
      <sz val="9"/>
      <name val="ISOCPEUR"/>
      <family val="2"/>
      <charset val="238"/>
    </font>
    <font>
      <vertAlign val="superscript"/>
      <sz val="10"/>
      <name val="ISOCPEUR"/>
      <family val="2"/>
      <charset val="238"/>
    </font>
    <font>
      <b/>
      <i/>
      <sz val="10"/>
      <name val="ISOCPEUR"/>
      <family val="2"/>
      <charset val="238"/>
    </font>
    <font>
      <b/>
      <sz val="9"/>
      <color theme="1"/>
      <name val="ISOCPEUR"/>
      <family val="2"/>
      <charset val="238"/>
    </font>
    <font>
      <i/>
      <sz val="10"/>
      <name val="ISOCPEUR"/>
      <family val="2"/>
      <charset val="238"/>
    </font>
    <font>
      <vertAlign val="superscript"/>
      <sz val="10"/>
      <color theme="1"/>
      <name val="ISOCPEUR"/>
      <family val="2"/>
      <charset val="238"/>
    </font>
    <font>
      <vertAlign val="superscript"/>
      <sz val="10"/>
      <color indexed="8"/>
      <name val="ISOCPEUR"/>
      <family val="2"/>
      <charset val="238"/>
    </font>
    <font>
      <sz val="10"/>
      <color rgb="FF000000"/>
      <name val="ISOCPEUR"/>
      <family val="2"/>
      <charset val="23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44">
    <border>
      <left/>
      <right/>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25">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cellStyleXfs>
  <cellXfs count="177">
    <xf numFmtId="0" fontId="0" fillId="0" borderId="0" xfId="0"/>
    <xf numFmtId="0" fontId="0" fillId="0" borderId="0" xfId="0" applyAlignment="1">
      <alignment horizontal="center" vertical="center"/>
    </xf>
    <xf numFmtId="0" fontId="0" fillId="0" borderId="0" xfId="0"/>
    <xf numFmtId="0" fontId="0" fillId="0" borderId="0" xfId="0"/>
    <xf numFmtId="0" fontId="0" fillId="0" borderId="0" xfId="0" applyAlignment="1">
      <alignment horizontal="right" vertical="center"/>
    </xf>
    <xf numFmtId="164" fontId="0" fillId="0" borderId="0" xfId="0" applyNumberFormat="1"/>
    <xf numFmtId="0" fontId="1" fillId="0" borderId="0" xfId="24" applyFont="1" applyBorder="1" applyAlignment="1">
      <alignment vertical="center"/>
    </xf>
    <xf numFmtId="49" fontId="1" fillId="0" borderId="0" xfId="24" applyNumberFormat="1" applyFont="1" applyBorder="1" applyAlignment="1">
      <alignment vertical="center"/>
    </xf>
    <xf numFmtId="0" fontId="0" fillId="0" borderId="0" xfId="0"/>
    <xf numFmtId="0" fontId="0" fillId="0" borderId="0" xfId="0"/>
    <xf numFmtId="0" fontId="0" fillId="0" borderId="0" xfId="0"/>
    <xf numFmtId="0" fontId="0" fillId="0" borderId="0" xfId="0" applyAlignment="1">
      <alignment vertical="center"/>
    </xf>
    <xf numFmtId="0" fontId="0" fillId="0" borderId="0" xfId="0"/>
    <xf numFmtId="0" fontId="1" fillId="0" borderId="0" xfId="24" applyFont="1" applyBorder="1" applyAlignment="1">
      <alignment horizontal="right" vertical="center"/>
    </xf>
    <xf numFmtId="0" fontId="1" fillId="0" borderId="0" xfId="24" applyFont="1" applyBorder="1" applyAlignment="1">
      <alignment horizontal="center" vertical="center"/>
    </xf>
    <xf numFmtId="49" fontId="1" fillId="0" borderId="0" xfId="24" applyNumberFormat="1" applyFont="1" applyBorder="1" applyAlignment="1">
      <alignment horizontal="center" vertical="center"/>
    </xf>
    <xf numFmtId="49" fontId="1" fillId="0" borderId="0" xfId="24" applyNumberFormat="1" applyFont="1" applyBorder="1" applyAlignment="1">
      <alignment horizontal="right" vertical="center"/>
    </xf>
    <xf numFmtId="0" fontId="0" fillId="0" borderId="0" xfId="0"/>
    <xf numFmtId="164" fontId="0" fillId="0" borderId="0" xfId="0" applyNumberFormat="1" applyAlignment="1"/>
    <xf numFmtId="0" fontId="0" fillId="0" borderId="0" xfId="0" applyAlignment="1">
      <alignment horizontal="left"/>
    </xf>
    <xf numFmtId="0" fontId="5" fillId="0" borderId="0" xfId="0" applyFont="1"/>
    <xf numFmtId="0" fontId="5" fillId="0" borderId="0" xfId="0" applyFont="1" applyAlignment="1">
      <alignment vertical="center" wrapText="1"/>
    </xf>
    <xf numFmtId="0" fontId="5" fillId="0" borderId="0" xfId="0" applyFont="1" applyAlignment="1">
      <alignment horizontal="center" vertical="center"/>
    </xf>
    <xf numFmtId="0" fontId="5" fillId="0" borderId="0" xfId="0" applyFont="1" applyAlignment="1">
      <alignment horizontal="right" vertical="center"/>
    </xf>
    <xf numFmtId="0" fontId="6" fillId="0" borderId="0" xfId="24" applyFont="1" applyBorder="1" applyAlignment="1"/>
    <xf numFmtId="0" fontId="7" fillId="0" borderId="0" xfId="0" applyFont="1" applyAlignment="1"/>
    <xf numFmtId="0" fontId="7" fillId="0" borderId="0" xfId="0" applyFont="1" applyAlignment="1">
      <alignment vertical="top"/>
    </xf>
    <xf numFmtId="0" fontId="8" fillId="0" borderId="0" xfId="24" applyFont="1" applyBorder="1" applyAlignment="1">
      <alignment vertical="center" wrapText="1"/>
    </xf>
    <xf numFmtId="0" fontId="8" fillId="0" borderId="0" xfId="24" applyFont="1" applyBorder="1" applyAlignment="1">
      <alignment horizontal="center" vertical="center"/>
    </xf>
    <xf numFmtId="0" fontId="8" fillId="0" borderId="0" xfId="24" applyFont="1" applyBorder="1" applyAlignment="1">
      <alignment horizontal="right" vertical="center"/>
    </xf>
    <xf numFmtId="0" fontId="5" fillId="0" borderId="0" xfId="0" applyFont="1" applyAlignment="1"/>
    <xf numFmtId="0" fontId="5" fillId="0" borderId="0" xfId="0" applyFont="1" applyAlignment="1">
      <alignment vertical="top"/>
    </xf>
    <xf numFmtId="0" fontId="9" fillId="0" borderId="0" xfId="24" applyFont="1" applyBorder="1" applyAlignment="1"/>
    <xf numFmtId="49" fontId="8" fillId="0" borderId="0" xfId="24" applyNumberFormat="1" applyFont="1" applyBorder="1" applyAlignment="1">
      <alignment vertical="center" wrapText="1"/>
    </xf>
    <xf numFmtId="49" fontId="8" fillId="0" borderId="0" xfId="24" applyNumberFormat="1" applyFont="1" applyBorder="1" applyAlignment="1">
      <alignment horizontal="center" vertical="center"/>
    </xf>
    <xf numFmtId="49" fontId="8" fillId="0" borderId="0" xfId="24" applyNumberFormat="1" applyFont="1" applyBorder="1" applyAlignment="1">
      <alignment horizontal="right"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1" fillId="0" borderId="3" xfId="0" applyFont="1" applyBorder="1" applyAlignment="1">
      <alignment horizontal="justify" vertical="center" wrapText="1"/>
    </xf>
    <xf numFmtId="0" fontId="12" fillId="0" borderId="3" xfId="0" applyFont="1" applyBorder="1" applyAlignment="1">
      <alignment horizontal="center" vertical="center"/>
    </xf>
    <xf numFmtId="164" fontId="12" fillId="0" borderId="18" xfId="0" applyNumberFormat="1" applyFont="1" applyBorder="1" applyAlignment="1">
      <alignment horizontal="right" vertical="center"/>
    </xf>
    <xf numFmtId="164" fontId="12" fillId="0" borderId="2" xfId="0" applyNumberFormat="1" applyFont="1" applyBorder="1" applyAlignment="1">
      <alignment horizontal="right" vertical="center"/>
    </xf>
    <xf numFmtId="0" fontId="11" fillId="0" borderId="1" xfId="0" applyFont="1" applyFill="1" applyBorder="1" applyAlignment="1">
      <alignment horizontal="center" vertical="center" wrapText="1"/>
    </xf>
    <xf numFmtId="164" fontId="11" fillId="0" borderId="1" xfId="0" applyNumberFormat="1" applyFont="1" applyFill="1" applyBorder="1" applyAlignment="1">
      <alignment horizontal="right" vertical="center" wrapText="1"/>
    </xf>
    <xf numFmtId="0" fontId="8" fillId="0" borderId="33" xfId="0" applyFont="1" applyFill="1" applyBorder="1" applyAlignment="1">
      <alignment horizontal="center" vertical="center"/>
    </xf>
    <xf numFmtId="0" fontId="8" fillId="0" borderId="34" xfId="0" applyFont="1" applyFill="1" applyBorder="1" applyAlignment="1">
      <alignment horizontal="left" vertical="center"/>
    </xf>
    <xf numFmtId="0" fontId="12" fillId="0" borderId="34" xfId="0" applyFont="1" applyBorder="1" applyAlignment="1">
      <alignment horizontal="justify" vertical="center" wrapText="1"/>
    </xf>
    <xf numFmtId="0" fontId="12" fillId="0" borderId="34" xfId="0" applyFont="1" applyBorder="1" applyAlignment="1">
      <alignment horizontal="center" vertical="center"/>
    </xf>
    <xf numFmtId="164" fontId="12" fillId="0" borderId="34" xfId="0" applyNumberFormat="1" applyFont="1" applyBorder="1" applyAlignment="1">
      <alignment horizontal="right" vertical="center"/>
    </xf>
    <xf numFmtId="164" fontId="12" fillId="0" borderId="35" xfId="0" applyNumberFormat="1" applyFont="1" applyBorder="1" applyAlignment="1">
      <alignment horizontal="right" vertical="center"/>
    </xf>
    <xf numFmtId="0" fontId="8" fillId="0" borderId="10" xfId="0" applyFont="1" applyFill="1" applyBorder="1" applyAlignment="1">
      <alignment horizontal="center" vertical="center"/>
    </xf>
    <xf numFmtId="0" fontId="8" fillId="0" borderId="11" xfId="0" applyFont="1" applyFill="1" applyBorder="1" applyAlignment="1">
      <alignment horizontal="left" vertical="center"/>
    </xf>
    <xf numFmtId="0" fontId="12" fillId="0" borderId="11" xfId="0" applyFont="1" applyBorder="1" applyAlignment="1">
      <alignment horizontal="justify" vertical="center" wrapText="1"/>
    </xf>
    <xf numFmtId="0" fontId="12" fillId="0" borderId="11" xfId="0" applyFont="1" applyBorder="1" applyAlignment="1">
      <alignment horizontal="center" vertical="center"/>
    </xf>
    <xf numFmtId="164" fontId="12" fillId="0" borderId="11" xfId="0" applyNumberFormat="1" applyFont="1" applyBorder="1" applyAlignment="1">
      <alignment horizontal="right" vertical="center"/>
    </xf>
    <xf numFmtId="164" fontId="12" fillId="0" borderId="11" xfId="0" applyNumberFormat="1" applyFont="1" applyBorder="1" applyAlignment="1">
      <alignment horizontal="right" vertical="center" wrapText="1"/>
    </xf>
    <xf numFmtId="164" fontId="12" fillId="0" borderId="12" xfId="0" applyNumberFormat="1" applyFont="1" applyBorder="1" applyAlignment="1">
      <alignment horizontal="right" vertical="center" wrapText="1"/>
    </xf>
    <xf numFmtId="164" fontId="12" fillId="0" borderId="12" xfId="0" applyNumberFormat="1" applyFont="1" applyBorder="1" applyAlignment="1">
      <alignment horizontal="right" vertical="center"/>
    </xf>
    <xf numFmtId="0" fontId="12" fillId="0" borderId="11" xfId="0" applyFont="1" applyBorder="1" applyAlignment="1">
      <alignment horizontal="center" vertical="center" wrapText="1"/>
    </xf>
    <xf numFmtId="164" fontId="12" fillId="0" borderId="11" xfId="0" applyNumberFormat="1" applyFont="1" applyFill="1" applyBorder="1" applyAlignment="1">
      <alignment horizontal="right" vertical="center"/>
    </xf>
    <xf numFmtId="0" fontId="8" fillId="0" borderId="38" xfId="0" applyFont="1" applyFill="1" applyBorder="1" applyAlignment="1">
      <alignment horizontal="center" vertical="center"/>
    </xf>
    <xf numFmtId="0" fontId="8" fillId="0" borderId="14" xfId="0" applyFont="1" applyFill="1" applyBorder="1" applyAlignment="1">
      <alignment horizontal="left" vertical="center"/>
    </xf>
    <xf numFmtId="0" fontId="12" fillId="0" borderId="14" xfId="0" applyFont="1" applyBorder="1" applyAlignment="1">
      <alignment horizontal="justify" vertical="center" wrapText="1"/>
    </xf>
    <xf numFmtId="164" fontId="12" fillId="0" borderId="14" xfId="0" applyNumberFormat="1" applyFont="1" applyFill="1" applyBorder="1" applyAlignment="1">
      <alignment horizontal="right" vertical="center"/>
    </xf>
    <xf numFmtId="164" fontId="17" fillId="0" borderId="2" xfId="0" applyNumberFormat="1" applyFont="1" applyFill="1" applyBorder="1" applyAlignment="1">
      <alignment horizontal="right" vertical="center" wrapText="1"/>
    </xf>
    <xf numFmtId="0" fontId="12" fillId="0" borderId="5" xfId="0" applyFont="1" applyBorder="1" applyAlignment="1">
      <alignment horizontal="center" vertical="center"/>
    </xf>
    <xf numFmtId="164" fontId="12" fillId="0" borderId="34" xfId="0" applyNumberFormat="1" applyFont="1" applyFill="1" applyBorder="1" applyAlignment="1">
      <alignment horizontal="right" vertical="center"/>
    </xf>
    <xf numFmtId="164" fontId="12" fillId="0" borderId="35" xfId="0" applyNumberFormat="1" applyFont="1" applyBorder="1" applyAlignment="1">
      <alignment horizontal="right" vertical="center" wrapText="1"/>
    </xf>
    <xf numFmtId="0" fontId="8" fillId="0" borderId="37" xfId="0" applyFont="1" applyFill="1" applyBorder="1" applyAlignment="1">
      <alignment horizontal="center" vertical="center"/>
    </xf>
    <xf numFmtId="0" fontId="8" fillId="0" borderId="39" xfId="0" applyFont="1" applyFill="1" applyBorder="1" applyAlignment="1">
      <alignment horizontal="left" vertical="center"/>
    </xf>
    <xf numFmtId="0" fontId="12" fillId="0" borderId="11" xfId="0" applyFont="1" applyFill="1" applyBorder="1" applyAlignment="1">
      <alignment horizontal="justify" vertical="center" wrapText="1"/>
    </xf>
    <xf numFmtId="164" fontId="12" fillId="0" borderId="40" xfId="0" applyNumberFormat="1" applyFont="1" applyFill="1" applyBorder="1" applyAlignment="1">
      <alignment horizontal="right" vertical="center"/>
    </xf>
    <xf numFmtId="165" fontId="12" fillId="0" borderId="11" xfId="0" applyNumberFormat="1" applyFont="1" applyBorder="1" applyAlignment="1">
      <alignment horizontal="center" vertical="center" wrapText="1"/>
    </xf>
    <xf numFmtId="166" fontId="8" fillId="0" borderId="11" xfId="0" applyNumberFormat="1" applyFont="1" applyBorder="1" applyAlignment="1">
      <alignment horizontal="center" vertical="center"/>
    </xf>
    <xf numFmtId="0" fontId="12" fillId="0" borderId="34" xfId="0" applyFont="1" applyFill="1" applyBorder="1" applyAlignment="1">
      <alignment horizontal="center" vertical="center"/>
    </xf>
    <xf numFmtId="164" fontId="12" fillId="0" borderId="35" xfId="0" applyNumberFormat="1" applyFont="1" applyFill="1" applyBorder="1" applyAlignment="1">
      <alignment horizontal="right" vertical="center" wrapText="1"/>
    </xf>
    <xf numFmtId="0" fontId="12" fillId="0" borderId="11" xfId="0" applyFont="1" applyFill="1" applyBorder="1" applyAlignment="1">
      <alignment horizontal="center" vertical="center"/>
    </xf>
    <xf numFmtId="164" fontId="12" fillId="0" borderId="12" xfId="0" applyNumberFormat="1" applyFont="1" applyFill="1" applyBorder="1" applyAlignment="1">
      <alignment horizontal="right" vertical="center" wrapText="1"/>
    </xf>
    <xf numFmtId="0" fontId="12" fillId="0" borderId="14" xfId="0" applyFont="1" applyBorder="1" applyAlignment="1">
      <alignment horizontal="center" vertical="center"/>
    </xf>
    <xf numFmtId="164" fontId="12" fillId="0" borderId="13" xfId="0" applyNumberFormat="1" applyFont="1" applyBorder="1" applyAlignment="1">
      <alignment horizontal="right" vertical="center" wrapText="1"/>
    </xf>
    <xf numFmtId="0" fontId="12" fillId="0" borderId="14" xfId="0" applyFont="1" applyFill="1" applyBorder="1" applyAlignment="1">
      <alignment horizontal="center" vertical="center"/>
    </xf>
    <xf numFmtId="164" fontId="12" fillId="0" borderId="13" xfId="0" applyNumberFormat="1" applyFont="1" applyFill="1" applyBorder="1" applyAlignment="1">
      <alignment horizontal="right" vertical="center" wrapText="1"/>
    </xf>
    <xf numFmtId="0" fontId="17" fillId="0" borderId="1" xfId="0" applyFont="1" applyFill="1" applyBorder="1" applyAlignment="1">
      <alignment horizontal="left" vertical="center" wrapText="1"/>
    </xf>
    <xf numFmtId="164" fontId="17" fillId="0" borderId="1" xfId="0" applyNumberFormat="1" applyFont="1" applyFill="1" applyBorder="1" applyAlignment="1">
      <alignment horizontal="right" vertical="center" wrapText="1"/>
    </xf>
    <xf numFmtId="0" fontId="9" fillId="2" borderId="23" xfId="0" applyFont="1" applyFill="1" applyBorder="1" applyAlignment="1">
      <alignment horizontal="left" vertical="center" wrapText="1"/>
    </xf>
    <xf numFmtId="0" fontId="9" fillId="2" borderId="22" xfId="0" applyFont="1" applyFill="1" applyBorder="1" applyAlignment="1">
      <alignment horizontal="left" vertical="center" wrapText="1"/>
    </xf>
    <xf numFmtId="0" fontId="18" fillId="2" borderId="22" xfId="0" applyFont="1" applyFill="1" applyBorder="1" applyAlignment="1">
      <alignment horizontal="left" vertical="center" wrapText="1"/>
    </xf>
    <xf numFmtId="0" fontId="18" fillId="2" borderId="21" xfId="0" applyFont="1" applyFill="1" applyBorder="1" applyAlignment="1">
      <alignment horizontal="left" vertical="center" wrapText="1"/>
    </xf>
    <xf numFmtId="164" fontId="5" fillId="0" borderId="21" xfId="0" applyNumberFormat="1" applyFont="1" applyBorder="1" applyAlignment="1">
      <alignment vertical="center"/>
    </xf>
    <xf numFmtId="164" fontId="7" fillId="0" borderId="21" xfId="0" applyNumberFormat="1" applyFont="1" applyBorder="1" applyAlignment="1">
      <alignment vertical="center"/>
    </xf>
    <xf numFmtId="164" fontId="5" fillId="0" borderId="32" xfId="0" applyNumberFormat="1" applyFont="1" applyBorder="1" applyAlignment="1">
      <alignment vertical="center"/>
    </xf>
    <xf numFmtId="164" fontId="7" fillId="0" borderId="32" xfId="0" applyNumberFormat="1" applyFont="1" applyBorder="1" applyAlignment="1">
      <alignment vertical="center"/>
    </xf>
    <xf numFmtId="164" fontId="5" fillId="0" borderId="8" xfId="0" applyNumberFormat="1" applyFont="1" applyBorder="1" applyAlignment="1">
      <alignment vertical="center"/>
    </xf>
    <xf numFmtId="164" fontId="7" fillId="0" borderId="8" xfId="0" applyNumberFormat="1" applyFont="1" applyBorder="1" applyAlignment="1">
      <alignment vertical="center"/>
    </xf>
    <xf numFmtId="0" fontId="5" fillId="0" borderId="0" xfId="0" applyFont="1" applyAlignment="1">
      <alignment horizontal="left"/>
    </xf>
    <xf numFmtId="164" fontId="5" fillId="0" borderId="0" xfId="0" applyNumberFormat="1" applyFont="1" applyAlignment="1"/>
    <xf numFmtId="0" fontId="8" fillId="0" borderId="21"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5" fillId="3" borderId="11" xfId="0" applyFont="1" applyFill="1" applyBorder="1" applyAlignment="1">
      <alignment horizontal="center" vertical="center"/>
    </xf>
    <xf numFmtId="0" fontId="12" fillId="3" borderId="11"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0" fillId="0" borderId="41" xfId="0" applyFont="1" applyBorder="1" applyAlignment="1">
      <alignment horizontal="center" vertical="center"/>
    </xf>
    <xf numFmtId="0" fontId="12" fillId="0" borderId="26" xfId="0" applyFont="1" applyBorder="1" applyAlignment="1">
      <alignment horizontal="center" vertical="center"/>
    </xf>
    <xf numFmtId="164" fontId="12" fillId="0" borderId="43" xfId="0" applyNumberFormat="1" applyFont="1" applyBorder="1" applyAlignment="1">
      <alignment horizontal="right" vertical="center"/>
    </xf>
    <xf numFmtId="164" fontId="12" fillId="0" borderId="36" xfId="0" applyNumberFormat="1" applyFont="1" applyBorder="1" applyAlignment="1">
      <alignment horizontal="right" vertical="center"/>
    </xf>
    <xf numFmtId="0" fontId="12" fillId="0" borderId="11" xfId="0" applyFont="1" applyBorder="1" applyAlignment="1" applyProtection="1">
      <alignment horizontal="left" vertical="center" wrapText="1"/>
      <protection locked="0"/>
    </xf>
    <xf numFmtId="0" fontId="12" fillId="0" borderId="11" xfId="0" applyFont="1" applyBorder="1" applyAlignment="1" applyProtection="1">
      <alignment horizontal="center" vertical="center" wrapText="1"/>
      <protection locked="0"/>
    </xf>
    <xf numFmtId="166" fontId="12" fillId="0" borderId="34" xfId="0" applyNumberFormat="1" applyFont="1" applyBorder="1" applyAlignment="1">
      <alignment horizontal="center" vertical="center"/>
    </xf>
    <xf numFmtId="166" fontId="12" fillId="0" borderId="11" xfId="0" applyNumberFormat="1" applyFont="1" applyBorder="1" applyAlignment="1">
      <alignment horizontal="center" vertical="center"/>
    </xf>
    <xf numFmtId="166" fontId="12" fillId="3" borderId="11" xfId="0" applyNumberFormat="1" applyFont="1" applyFill="1" applyBorder="1" applyAlignment="1">
      <alignment horizontal="center" vertical="center"/>
    </xf>
    <xf numFmtId="166" fontId="12" fillId="0" borderId="11" xfId="0" applyNumberFormat="1" applyFont="1" applyBorder="1" applyAlignment="1">
      <alignment horizontal="center" vertical="center" wrapText="1"/>
    </xf>
    <xf numFmtId="166" fontId="11" fillId="0" borderId="1" xfId="0" applyNumberFormat="1" applyFont="1" applyFill="1" applyBorder="1" applyAlignment="1">
      <alignment horizontal="center" vertical="center" wrapText="1"/>
    </xf>
    <xf numFmtId="166" fontId="12" fillId="0" borderId="3" xfId="0" applyNumberFormat="1" applyFont="1" applyBorder="1" applyAlignment="1">
      <alignment horizontal="center" vertical="center"/>
    </xf>
    <xf numFmtId="166" fontId="8" fillId="0" borderId="34" xfId="0" applyNumberFormat="1" applyFont="1" applyFill="1" applyBorder="1" applyAlignment="1">
      <alignment horizontal="center" vertical="center"/>
    </xf>
    <xf numFmtId="166" fontId="8" fillId="0" borderId="11" xfId="0" applyNumberFormat="1" applyFont="1" applyFill="1" applyBorder="1" applyAlignment="1">
      <alignment horizontal="center" vertical="center"/>
    </xf>
    <xf numFmtId="166" fontId="8" fillId="0" borderId="14" xfId="0" applyNumberFormat="1" applyFont="1" applyBorder="1" applyAlignment="1">
      <alignment horizontal="center" vertical="center"/>
    </xf>
    <xf numFmtId="166" fontId="8" fillId="0" borderId="14" xfId="0" applyNumberFormat="1" applyFont="1" applyFill="1" applyBorder="1" applyAlignment="1">
      <alignment horizontal="center" vertical="center"/>
    </xf>
    <xf numFmtId="164" fontId="12" fillId="0" borderId="11" xfId="0" applyNumberFormat="1" applyFont="1" applyBorder="1" applyAlignment="1" applyProtection="1">
      <alignment horizontal="right" vertical="center"/>
      <protection locked="0"/>
    </xf>
    <xf numFmtId="0" fontId="12" fillId="3" borderId="11" xfId="0" applyFont="1" applyFill="1" applyBorder="1" applyAlignment="1" applyProtection="1">
      <alignment horizontal="left" vertical="center" wrapText="1"/>
      <protection locked="0"/>
    </xf>
    <xf numFmtId="0" fontId="12" fillId="3" borderId="11" xfId="0" applyFont="1" applyFill="1" applyBorder="1" applyAlignment="1" applyProtection="1">
      <alignment horizontal="center" vertical="center" wrapText="1"/>
      <protection locked="0"/>
    </xf>
    <xf numFmtId="164" fontId="12" fillId="3" borderId="11" xfId="0" applyNumberFormat="1" applyFont="1" applyFill="1" applyBorder="1" applyAlignment="1" applyProtection="1">
      <alignment horizontal="right" vertical="center"/>
      <protection locked="0"/>
    </xf>
    <xf numFmtId="0" fontId="5" fillId="3" borderId="11" xfId="0" applyFont="1" applyFill="1" applyBorder="1" applyAlignment="1">
      <alignment horizontal="left" vertical="center" wrapText="1"/>
    </xf>
    <xf numFmtId="0" fontId="5" fillId="3" borderId="11" xfId="0" applyFont="1" applyFill="1" applyBorder="1" applyAlignment="1">
      <alignment horizontal="center" vertical="center" wrapText="1"/>
    </xf>
    <xf numFmtId="0" fontId="5" fillId="3" borderId="11" xfId="0" applyFont="1" applyFill="1" applyBorder="1" applyAlignment="1">
      <alignment horizontal="left" vertical="center"/>
    </xf>
    <xf numFmtId="0" fontId="22" fillId="3" borderId="11" xfId="0" applyFont="1" applyFill="1" applyBorder="1" applyAlignment="1">
      <alignment vertical="center" wrapText="1"/>
    </xf>
    <xf numFmtId="0" fontId="13" fillId="0" borderId="42" xfId="0" applyFont="1" applyBorder="1" applyAlignment="1">
      <alignment horizontal="center" vertical="center"/>
    </xf>
    <xf numFmtId="0" fontId="14" fillId="0" borderId="26" xfId="0" applyFont="1" applyBorder="1" applyAlignment="1">
      <alignment horizontal="justify" vertical="center" wrapText="1"/>
    </xf>
    <xf numFmtId="0" fontId="13" fillId="0" borderId="5" xfId="0" applyFont="1" applyBorder="1" applyAlignment="1">
      <alignment horizontal="center" vertical="center"/>
    </xf>
    <xf numFmtId="0" fontId="14" fillId="0" borderId="3" xfId="0" applyFont="1" applyBorder="1" applyAlignment="1">
      <alignment horizontal="justify" vertical="center" wrapText="1"/>
    </xf>
    <xf numFmtId="0" fontId="12" fillId="0" borderId="33" xfId="0" applyFont="1" applyBorder="1" applyAlignment="1">
      <alignment horizontal="center" vertical="center"/>
    </xf>
    <xf numFmtId="0" fontId="12" fillId="0" borderId="10" xfId="0" applyFont="1" applyBorder="1" applyAlignment="1">
      <alignment horizontal="center" vertical="center"/>
    </xf>
    <xf numFmtId="0" fontId="12" fillId="0" borderId="34" xfId="0" applyFont="1" applyBorder="1" applyAlignment="1" applyProtection="1">
      <alignment horizontal="left" vertical="center" wrapText="1"/>
      <protection locked="0"/>
    </xf>
    <xf numFmtId="0" fontId="12" fillId="0" borderId="34" xfId="0" applyFont="1" applyBorder="1" applyAlignment="1" applyProtection="1">
      <alignment horizontal="center" vertical="center" wrapText="1"/>
      <protection locked="0"/>
    </xf>
    <xf numFmtId="164" fontId="12" fillId="0" borderId="34" xfId="0" applyNumberFormat="1" applyFont="1" applyBorder="1" applyAlignment="1" applyProtection="1">
      <alignment horizontal="right" vertical="center"/>
      <protection locked="0"/>
    </xf>
    <xf numFmtId="166" fontId="12" fillId="0" borderId="34" xfId="0" applyNumberFormat="1" applyFont="1" applyBorder="1" applyAlignment="1" applyProtection="1">
      <alignment horizontal="center" vertical="center"/>
      <protection locked="0"/>
    </xf>
    <xf numFmtId="166" fontId="12" fillId="0" borderId="11" xfId="0" applyNumberFormat="1" applyFont="1" applyBorder="1" applyAlignment="1" applyProtection="1">
      <alignment horizontal="center" vertical="center"/>
      <protection locked="0"/>
    </xf>
    <xf numFmtId="165" fontId="12" fillId="0" borderId="11" xfId="0" applyNumberFormat="1" applyFont="1" applyBorder="1" applyAlignment="1">
      <alignment horizontal="center" vertical="center"/>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4" fillId="2" borderId="6" xfId="0" applyFont="1" applyFill="1" applyBorder="1" applyAlignment="1">
      <alignment horizontal="left" vertical="center"/>
    </xf>
    <xf numFmtId="0" fontId="4" fillId="2" borderId="1" xfId="0" applyFont="1" applyFill="1" applyBorder="1" applyAlignment="1">
      <alignment horizontal="left" vertical="center"/>
    </xf>
    <xf numFmtId="0" fontId="4" fillId="2" borderId="7" xfId="0" applyFont="1" applyFill="1" applyBorder="1" applyAlignment="1">
      <alignment horizontal="left" vertical="center"/>
    </xf>
    <xf numFmtId="0" fontId="8" fillId="0" borderId="23" xfId="0" applyFont="1" applyFill="1" applyBorder="1" applyAlignment="1">
      <alignment horizontal="left" vertical="center" wrapText="1"/>
    </xf>
    <xf numFmtId="0" fontId="8" fillId="0" borderId="31" xfId="0" applyFont="1" applyFill="1" applyBorder="1" applyAlignment="1">
      <alignment horizontal="left" vertical="center" wrapText="1"/>
    </xf>
    <xf numFmtId="0" fontId="5" fillId="0" borderId="0" xfId="0" applyFont="1" applyAlignment="1">
      <alignment horizontal="left" wrapText="1"/>
    </xf>
    <xf numFmtId="0" fontId="15" fillId="2" borderId="24" xfId="0" applyFont="1" applyFill="1" applyBorder="1" applyAlignment="1">
      <alignment horizontal="center" vertical="center"/>
    </xf>
    <xf numFmtId="0" fontId="15" fillId="2" borderId="25" xfId="0" applyFont="1" applyFill="1" applyBorder="1" applyAlignment="1">
      <alignment horizontal="center" vertical="center"/>
    </xf>
    <xf numFmtId="0" fontId="15" fillId="2" borderId="9" xfId="0" applyFont="1" applyFill="1" applyBorder="1" applyAlignment="1">
      <alignment horizontal="center" vertical="center"/>
    </xf>
    <xf numFmtId="164" fontId="11" fillId="0" borderId="6" xfId="0" applyNumberFormat="1" applyFont="1" applyFill="1" applyBorder="1" applyAlignment="1">
      <alignment horizontal="right" vertical="center" wrapText="1"/>
    </xf>
    <xf numFmtId="164" fontId="11" fillId="0" borderId="1" xfId="0" applyNumberFormat="1" applyFont="1" applyFill="1" applyBorder="1" applyAlignment="1">
      <alignment horizontal="right" vertical="center" wrapText="1"/>
    </xf>
    <xf numFmtId="164" fontId="11" fillId="0" borderId="7" xfId="0" applyNumberFormat="1" applyFont="1" applyFill="1" applyBorder="1" applyAlignment="1">
      <alignment horizontal="right" vertical="center" wrapText="1"/>
    </xf>
    <xf numFmtId="0" fontId="15" fillId="2" borderId="26"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5" fillId="0" borderId="0" xfId="0" applyFont="1" applyAlignment="1">
      <alignment horizontal="justify" vertical="center" wrapText="1"/>
    </xf>
    <xf numFmtId="0" fontId="15" fillId="2" borderId="29" xfId="0" applyFont="1" applyFill="1" applyBorder="1" applyAlignment="1">
      <alignment horizontal="center" vertical="center" wrapText="1"/>
    </xf>
    <xf numFmtId="0" fontId="15" fillId="2" borderId="30" xfId="0" applyFont="1" applyFill="1" applyBorder="1" applyAlignment="1">
      <alignment horizontal="center" vertical="center" wrapText="1"/>
    </xf>
    <xf numFmtId="0" fontId="11" fillId="0" borderId="6"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5" fillId="2" borderId="26" xfId="0" applyFont="1" applyFill="1" applyBorder="1" applyAlignment="1" applyProtection="1">
      <alignment horizontal="center" vertical="center" wrapText="1"/>
      <protection locked="0"/>
    </xf>
    <xf numFmtId="0" fontId="15" fillId="2" borderId="28" xfId="0" applyFont="1" applyFill="1" applyBorder="1" applyAlignment="1" applyProtection="1">
      <alignment horizontal="center" vertical="center" wrapText="1"/>
      <protection locked="0"/>
    </xf>
    <xf numFmtId="164" fontId="12" fillId="0" borderId="3" xfId="0" applyNumberFormat="1" applyFont="1" applyBorder="1" applyAlignment="1" applyProtection="1">
      <alignment horizontal="right" vertical="center"/>
      <protection locked="0"/>
    </xf>
    <xf numFmtId="164" fontId="12" fillId="0" borderId="11" xfId="0" applyNumberFormat="1" applyFont="1" applyFill="1" applyBorder="1" applyAlignment="1" applyProtection="1">
      <alignment horizontal="right" vertical="center"/>
      <protection locked="0"/>
    </xf>
    <xf numFmtId="164" fontId="11" fillId="0" borderId="1" xfId="0" applyNumberFormat="1" applyFont="1" applyFill="1" applyBorder="1" applyAlignment="1" applyProtection="1">
      <alignment horizontal="right" vertical="center" wrapText="1"/>
      <protection locked="0"/>
    </xf>
    <xf numFmtId="164" fontId="12" fillId="0" borderId="26" xfId="0" applyNumberFormat="1" applyFont="1" applyBorder="1" applyAlignment="1" applyProtection="1">
      <alignment horizontal="right" vertical="center"/>
      <protection locked="0"/>
    </xf>
    <xf numFmtId="164" fontId="12" fillId="0" borderId="11" xfId="0" applyNumberFormat="1" applyFont="1" applyBorder="1" applyAlignment="1" applyProtection="1">
      <alignment horizontal="right" vertical="center" wrapText="1"/>
      <protection locked="0"/>
    </xf>
    <xf numFmtId="164" fontId="12" fillId="3" borderId="11" xfId="0" applyNumberFormat="1" applyFont="1" applyFill="1" applyBorder="1" applyAlignment="1" applyProtection="1">
      <alignment horizontal="right" vertical="center" wrapText="1"/>
      <protection locked="0"/>
    </xf>
    <xf numFmtId="164" fontId="12" fillId="0" borderId="14" xfId="0" applyNumberFormat="1" applyFont="1" applyFill="1" applyBorder="1" applyAlignment="1" applyProtection="1">
      <alignment horizontal="right" vertical="center"/>
      <protection locked="0"/>
    </xf>
    <xf numFmtId="164" fontId="5" fillId="3" borderId="11" xfId="0" applyNumberFormat="1" applyFont="1" applyFill="1" applyBorder="1" applyAlignment="1" applyProtection="1">
      <alignment horizontal="right" vertical="center" wrapText="1"/>
      <protection locked="0"/>
    </xf>
    <xf numFmtId="164" fontId="5" fillId="3" borderId="11" xfId="0" applyNumberFormat="1" applyFont="1" applyFill="1" applyBorder="1" applyAlignment="1" applyProtection="1">
      <alignment horizontal="right" vertical="center"/>
      <protection locked="0"/>
    </xf>
    <xf numFmtId="164" fontId="12" fillId="0" borderId="34" xfId="0" applyNumberFormat="1" applyFont="1" applyFill="1" applyBorder="1" applyAlignment="1" applyProtection="1">
      <alignment horizontal="right" vertical="center"/>
      <protection locked="0"/>
    </xf>
  </cellXfs>
  <cellStyles count="25">
    <cellStyle name="Normální" xfId="0" builtinId="0"/>
    <cellStyle name="normální 13" xfId="1"/>
    <cellStyle name="normální 17" xfId="2"/>
    <cellStyle name="normální 18" xfId="3"/>
    <cellStyle name="normální 20" xfId="4"/>
    <cellStyle name="normální 23" xfId="5"/>
    <cellStyle name="normální 25" xfId="6"/>
    <cellStyle name="normální 26" xfId="7"/>
    <cellStyle name="normální 33" xfId="8"/>
    <cellStyle name="normální 34" xfId="9"/>
    <cellStyle name="normální 39" xfId="10"/>
    <cellStyle name="Normální 4" xfId="11"/>
    <cellStyle name="normální 42" xfId="12"/>
    <cellStyle name="normální 43" xfId="13"/>
    <cellStyle name="normální 5" xfId="14"/>
    <cellStyle name="normální 6" xfId="15"/>
    <cellStyle name="normální 60" xfId="16"/>
    <cellStyle name="Normální 63" xfId="17"/>
    <cellStyle name="normální 64" xfId="18"/>
    <cellStyle name="Normální 67" xfId="19"/>
    <cellStyle name="Normální 68" xfId="20"/>
    <cellStyle name="normální 7" xfId="21"/>
    <cellStyle name="Normální 86" xfId="22"/>
    <cellStyle name="Normální 88" xfId="23"/>
    <cellStyle name="Normální 91"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zoomScaleNormal="100" workbookViewId="0">
      <selection activeCell="C4" sqref="C4"/>
    </sheetView>
  </sheetViews>
  <sheetFormatPr defaultRowHeight="13.2"/>
  <cols>
    <col min="1" max="1" width="10.6640625" style="20" customWidth="1"/>
    <col min="2" max="5" width="19.6640625" style="20" customWidth="1"/>
    <col min="7" max="7" width="15.6640625" hidden="1" customWidth="1"/>
    <col min="8" max="8" width="14.6640625" hidden="1" customWidth="1"/>
    <col min="9" max="10" width="14.6640625" bestFit="1" customWidth="1"/>
    <col min="11" max="12" width="13.6640625" customWidth="1"/>
    <col min="14" max="14" width="12.6640625" customWidth="1"/>
  </cols>
  <sheetData>
    <row r="1" spans="1:18" ht="30" customHeight="1" thickBot="1">
      <c r="A1" s="144" t="s">
        <v>10</v>
      </c>
      <c r="B1" s="145"/>
      <c r="C1" s="145"/>
      <c r="D1" s="145"/>
      <c r="E1" s="146"/>
      <c r="F1" s="2"/>
      <c r="G1" s="2"/>
    </row>
    <row r="2" spans="1:18" s="3" customFormat="1">
      <c r="A2" s="20"/>
      <c r="B2" s="20"/>
      <c r="C2" s="20"/>
      <c r="D2" s="20"/>
      <c r="E2" s="21"/>
      <c r="F2" s="1"/>
      <c r="G2" s="4"/>
      <c r="H2" s="4"/>
    </row>
    <row r="3" spans="1:18" s="17" customFormat="1">
      <c r="A3" s="24" t="s">
        <v>0</v>
      </c>
      <c r="B3" s="24"/>
      <c r="C3" s="25" t="s">
        <v>205</v>
      </c>
      <c r="D3" s="26"/>
      <c r="E3" s="27"/>
      <c r="F3" s="14"/>
      <c r="G3" s="13"/>
      <c r="H3" s="13"/>
      <c r="I3" s="6"/>
      <c r="J3" s="6"/>
      <c r="K3" s="6"/>
      <c r="L3" s="6"/>
      <c r="M3" s="6"/>
      <c r="N3" s="6"/>
      <c r="O3" s="6"/>
      <c r="P3" s="6"/>
      <c r="Q3" s="6"/>
      <c r="R3" s="6"/>
    </row>
    <row r="4" spans="1:18" s="17" customFormat="1">
      <c r="A4" s="24" t="s">
        <v>1</v>
      </c>
      <c r="B4" s="24"/>
      <c r="C4" s="30" t="s">
        <v>62</v>
      </c>
      <c r="D4" s="31"/>
      <c r="E4" s="27"/>
      <c r="F4" s="14"/>
      <c r="G4" s="13"/>
      <c r="H4" s="13"/>
      <c r="I4" s="6"/>
      <c r="J4" s="6"/>
      <c r="K4" s="6"/>
      <c r="L4" s="6"/>
      <c r="M4" s="6"/>
      <c r="N4" s="6"/>
      <c r="O4" s="6"/>
      <c r="P4" s="6"/>
      <c r="Q4" s="6"/>
      <c r="R4" s="6"/>
    </row>
    <row r="5" spans="1:18" s="17" customFormat="1">
      <c r="A5" s="24" t="s">
        <v>2</v>
      </c>
      <c r="B5" s="24"/>
      <c r="C5" s="30" t="s">
        <v>63</v>
      </c>
      <c r="D5" s="31"/>
      <c r="E5" s="27"/>
      <c r="F5" s="14"/>
      <c r="G5" s="13"/>
      <c r="H5" s="13"/>
      <c r="I5" s="6"/>
      <c r="J5" s="6"/>
      <c r="K5" s="6"/>
      <c r="L5" s="6"/>
      <c r="M5" s="6"/>
      <c r="N5" s="6"/>
      <c r="O5" s="6"/>
      <c r="P5" s="6"/>
      <c r="Q5" s="6"/>
      <c r="R5" s="6"/>
    </row>
    <row r="6" spans="1:18" s="17" customFormat="1" ht="27.6" customHeight="1">
      <c r="A6" s="24" t="s">
        <v>64</v>
      </c>
      <c r="B6" s="24"/>
      <c r="C6" s="149" t="s">
        <v>65</v>
      </c>
      <c r="D6" s="149"/>
      <c r="E6" s="149"/>
      <c r="F6" s="14"/>
      <c r="G6" s="13"/>
      <c r="H6" s="13"/>
      <c r="I6" s="6"/>
      <c r="J6" s="6"/>
      <c r="K6" s="6"/>
      <c r="L6" s="6"/>
      <c r="M6" s="6"/>
      <c r="N6" s="6"/>
      <c r="O6" s="6"/>
      <c r="P6" s="6"/>
      <c r="Q6" s="6"/>
      <c r="R6" s="6"/>
    </row>
    <row r="7" spans="1:18" s="17" customFormat="1">
      <c r="A7" s="24" t="s">
        <v>3</v>
      </c>
      <c r="B7" s="24"/>
      <c r="C7" s="30" t="s">
        <v>66</v>
      </c>
      <c r="D7" s="31"/>
      <c r="E7" s="27"/>
      <c r="F7" s="14"/>
      <c r="G7" s="13"/>
      <c r="H7" s="13"/>
      <c r="I7" s="6"/>
      <c r="J7" s="6"/>
      <c r="K7" s="6"/>
      <c r="L7" s="6"/>
      <c r="M7" s="6"/>
      <c r="N7" s="6"/>
      <c r="O7" s="6"/>
      <c r="P7" s="6"/>
      <c r="Q7" s="6"/>
      <c r="R7" s="6"/>
    </row>
    <row r="8" spans="1:18" s="17" customFormat="1">
      <c r="A8" s="32" t="s">
        <v>67</v>
      </c>
      <c r="B8" s="24"/>
      <c r="C8" s="30" t="s">
        <v>4</v>
      </c>
      <c r="D8" s="31"/>
      <c r="E8" s="27"/>
      <c r="F8" s="14"/>
      <c r="G8" s="13"/>
      <c r="H8" s="13"/>
      <c r="I8" s="6"/>
      <c r="J8" s="6"/>
      <c r="K8" s="6"/>
      <c r="L8" s="6"/>
      <c r="M8" s="6"/>
      <c r="N8" s="6"/>
      <c r="O8" s="6"/>
      <c r="P8" s="6"/>
      <c r="Q8" s="6"/>
      <c r="R8" s="6"/>
    </row>
    <row r="9" spans="1:18" s="17" customFormat="1">
      <c r="A9" s="24" t="s">
        <v>29</v>
      </c>
      <c r="B9" s="24"/>
      <c r="C9" s="30" t="s">
        <v>4</v>
      </c>
      <c r="D9" s="31"/>
      <c r="E9" s="27"/>
      <c r="F9" s="14"/>
      <c r="G9" s="13"/>
      <c r="H9" s="13"/>
      <c r="I9" s="6"/>
      <c r="J9" s="6"/>
      <c r="K9" s="6"/>
      <c r="L9" s="6"/>
      <c r="M9" s="6"/>
      <c r="N9" s="6"/>
      <c r="O9" s="6"/>
      <c r="P9" s="6"/>
      <c r="Q9" s="6"/>
      <c r="R9" s="6"/>
    </row>
    <row r="10" spans="1:18" s="17" customFormat="1">
      <c r="A10" s="24" t="s">
        <v>5</v>
      </c>
      <c r="B10" s="24"/>
      <c r="C10" s="30" t="s">
        <v>68</v>
      </c>
      <c r="D10" s="31"/>
      <c r="E10" s="33"/>
      <c r="F10" s="15"/>
      <c r="G10" s="16"/>
      <c r="H10" s="16"/>
      <c r="I10" s="7"/>
      <c r="J10" s="7"/>
      <c r="K10" s="7"/>
      <c r="L10" s="7"/>
      <c r="M10" s="7"/>
      <c r="N10" s="7"/>
      <c r="O10" s="7"/>
      <c r="P10" s="7"/>
      <c r="Q10" s="7"/>
      <c r="R10" s="7"/>
    </row>
    <row r="11" spans="1:18" ht="13.8" thickBot="1">
      <c r="F11" s="2"/>
      <c r="G11" s="2"/>
    </row>
    <row r="12" spans="1:18" ht="30" customHeight="1" thickBot="1">
      <c r="A12" s="84" t="s">
        <v>6</v>
      </c>
      <c r="B12" s="85" t="s">
        <v>23</v>
      </c>
      <c r="C12" s="86" t="s">
        <v>7</v>
      </c>
      <c r="D12" s="87" t="s">
        <v>31</v>
      </c>
      <c r="E12" s="86" t="s">
        <v>8</v>
      </c>
      <c r="F12" s="2"/>
      <c r="G12" s="2"/>
      <c r="I12" s="19"/>
      <c r="J12" s="19"/>
      <c r="K12" s="18"/>
      <c r="L12" s="18"/>
    </row>
    <row r="13" spans="1:18" s="10" customFormat="1">
      <c r="A13" s="147" t="s">
        <v>202</v>
      </c>
      <c r="B13" s="96" t="str">
        <f>Rozpočet!C14</f>
        <v>příprava území</v>
      </c>
      <c r="C13" s="88">
        <f>Rozpočet!H46</f>
        <v>0</v>
      </c>
      <c r="D13" s="88">
        <f>C13*21%</f>
        <v>0</v>
      </c>
      <c r="E13" s="89">
        <f>C13+D13</f>
        <v>0</v>
      </c>
      <c r="I13" s="19"/>
      <c r="J13" s="19"/>
      <c r="K13" s="18"/>
      <c r="L13" s="18"/>
    </row>
    <row r="14" spans="1:18" s="17" customFormat="1">
      <c r="A14" s="148"/>
      <c r="B14" s="97" t="str">
        <f>Rozpočet!C47</f>
        <v>vegetační úpravy</v>
      </c>
      <c r="C14" s="90">
        <f>Rozpočet!H199</f>
        <v>0</v>
      </c>
      <c r="D14" s="90">
        <f t="shared" ref="D14:D15" si="0">C14*21%</f>
        <v>0</v>
      </c>
      <c r="E14" s="91">
        <f t="shared" ref="E14:E15" si="1">C14+D14</f>
        <v>0</v>
      </c>
      <c r="I14" s="19"/>
      <c r="J14" s="19"/>
      <c r="K14" s="18"/>
      <c r="L14" s="18"/>
    </row>
    <row r="15" spans="1:18" s="17" customFormat="1" ht="13.8" thickBot="1">
      <c r="A15" s="148"/>
      <c r="B15" s="97" t="str">
        <f>Rozpočet!C200</f>
        <v>ochranná opatření</v>
      </c>
      <c r="C15" s="90">
        <f>Rozpočet!H208</f>
        <v>0</v>
      </c>
      <c r="D15" s="90">
        <f t="shared" si="0"/>
        <v>0</v>
      </c>
      <c r="E15" s="91">
        <f t="shared" si="1"/>
        <v>0</v>
      </c>
      <c r="I15" s="19"/>
      <c r="J15" s="19"/>
      <c r="K15" s="18"/>
      <c r="L15" s="18"/>
    </row>
    <row r="16" spans="1:18" s="17" customFormat="1" ht="30" customHeight="1" thickBot="1">
      <c r="A16" s="142" t="s">
        <v>9</v>
      </c>
      <c r="B16" s="143"/>
      <c r="C16" s="92">
        <f>SUM(C13:C15)</f>
        <v>0</v>
      </c>
      <c r="D16" s="92">
        <f>SUM(D13:D15)</f>
        <v>0</v>
      </c>
      <c r="E16" s="93">
        <f>SUM(C16:D16)</f>
        <v>0</v>
      </c>
      <c r="F16" s="18"/>
      <c r="G16" s="18"/>
      <c r="H16" s="5"/>
      <c r="I16" s="19"/>
      <c r="J16" s="19"/>
      <c r="K16" s="18"/>
      <c r="L16" s="18"/>
      <c r="N16" s="18"/>
    </row>
    <row r="17" spans="1:14" s="17" customFormat="1">
      <c r="A17" s="94"/>
      <c r="B17" s="94"/>
      <c r="C17" s="95"/>
      <c r="D17" s="95"/>
      <c r="E17" s="95"/>
      <c r="F17" s="18"/>
      <c r="G17" s="18"/>
      <c r="H17" s="5"/>
      <c r="I17" s="19"/>
      <c r="J17" s="19"/>
      <c r="K17" s="18"/>
      <c r="L17" s="18"/>
      <c r="N17" s="18"/>
    </row>
    <row r="18" spans="1:14" s="17" customFormat="1">
      <c r="A18" s="94"/>
      <c r="B18" s="20"/>
      <c r="C18" s="95"/>
      <c r="D18" s="95"/>
      <c r="E18" s="95"/>
      <c r="F18" s="18"/>
      <c r="G18" s="18"/>
      <c r="H18" s="5"/>
    </row>
    <row r="19" spans="1:14" s="17" customFormat="1">
      <c r="A19" s="20"/>
      <c r="B19" s="20"/>
      <c r="C19" s="95"/>
      <c r="D19" s="95"/>
      <c r="E19" s="95"/>
      <c r="F19" s="18"/>
      <c r="G19" s="18"/>
      <c r="H19" s="5"/>
      <c r="I19" s="5"/>
    </row>
    <row r="20" spans="1:14">
      <c r="A20" s="20" t="s">
        <v>30</v>
      </c>
      <c r="D20" s="20" t="s">
        <v>4</v>
      </c>
    </row>
    <row r="21" spans="1:14">
      <c r="A21" s="20" t="s">
        <v>203</v>
      </c>
    </row>
    <row r="23" spans="1:14" s="17" customFormat="1">
      <c r="A23" s="20"/>
      <c r="B23" s="20"/>
      <c r="C23" s="20"/>
      <c r="D23" s="20"/>
      <c r="E23" s="20"/>
    </row>
    <row r="24" spans="1:14" s="17" customFormat="1">
      <c r="A24" s="20"/>
      <c r="B24" s="20"/>
      <c r="C24" s="20"/>
      <c r="D24" s="20"/>
      <c r="E24" s="20"/>
    </row>
  </sheetData>
  <mergeCells count="4">
    <mergeCell ref="A16:B16"/>
    <mergeCell ref="A1:E1"/>
    <mergeCell ref="A13:A15"/>
    <mergeCell ref="C6:E6"/>
  </mergeCells>
  <printOptions horizontalCentered="1"/>
  <pageMargins left="0.78740157480314965" right="0.59055118110236227" top="0.78740157480314965" bottom="0.78740157480314965" header="0.31496062992125984" footer="0.31496062992125984"/>
  <pageSetup paperSize="9" orientation="portrait" horizontalDpi="4294967294" verticalDpi="4294967294" r:id="rId1"/>
  <headerFooter>
    <oddHeader>&amp;R&amp;UPříloha č. 1&amp;U
&amp;"Arial,Kurzíva"Krycí list</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2"/>
  <sheetViews>
    <sheetView tabSelected="1" topLeftCell="A12" zoomScaleNormal="100" workbookViewId="0">
      <selection activeCell="F16" sqref="F16"/>
    </sheetView>
  </sheetViews>
  <sheetFormatPr defaultRowHeight="13.2"/>
  <cols>
    <col min="1" max="2" width="10.6640625" style="20" customWidth="1"/>
    <col min="3" max="3" width="50.6640625" style="20" customWidth="1"/>
    <col min="4" max="4" width="8.6640625" style="20" customWidth="1"/>
    <col min="5" max="5" width="9.109375" style="20" bestFit="1" customWidth="1"/>
    <col min="6" max="8" width="15.6640625" style="20" customWidth="1"/>
    <col min="10" max="10" width="13.109375" bestFit="1" customWidth="1"/>
  </cols>
  <sheetData>
    <row r="1" spans="1:16" ht="30" customHeight="1" thickBot="1">
      <c r="A1" s="144" t="s">
        <v>32</v>
      </c>
      <c r="B1" s="145"/>
      <c r="C1" s="145"/>
      <c r="D1" s="145"/>
      <c r="E1" s="145"/>
      <c r="F1" s="145"/>
      <c r="G1" s="145"/>
      <c r="H1" s="146"/>
    </row>
    <row r="2" spans="1:16" s="17" customFormat="1">
      <c r="A2" s="20"/>
      <c r="B2" s="20"/>
      <c r="C2" s="20"/>
      <c r="D2" s="20"/>
      <c r="E2" s="21"/>
      <c r="F2" s="22"/>
      <c r="G2" s="23"/>
      <c r="H2" s="23"/>
    </row>
    <row r="3" spans="1:16" s="17" customFormat="1">
      <c r="A3" s="24" t="s">
        <v>0</v>
      </c>
      <c r="B3" s="24"/>
      <c r="C3" s="25" t="s">
        <v>204</v>
      </c>
      <c r="D3" s="26"/>
      <c r="E3" s="27"/>
      <c r="F3" s="28"/>
      <c r="G3" s="29"/>
      <c r="H3" s="29"/>
      <c r="I3" s="6"/>
      <c r="J3" s="6"/>
      <c r="K3" s="6"/>
      <c r="L3" s="6"/>
      <c r="M3" s="6"/>
      <c r="N3" s="6"/>
      <c r="O3" s="6"/>
      <c r="P3" s="6"/>
    </row>
    <row r="4" spans="1:16" s="17" customFormat="1">
      <c r="A4" s="24" t="s">
        <v>1</v>
      </c>
      <c r="B4" s="24"/>
      <c r="C4" s="30" t="s">
        <v>62</v>
      </c>
      <c r="D4" s="31"/>
      <c r="E4" s="27"/>
      <c r="F4" s="28"/>
      <c r="G4" s="29"/>
      <c r="H4" s="29"/>
      <c r="I4" s="6"/>
      <c r="J4" s="6"/>
      <c r="K4" s="6"/>
      <c r="L4" s="6"/>
      <c r="M4" s="6"/>
      <c r="N4" s="6"/>
      <c r="O4" s="6"/>
      <c r="P4" s="6"/>
    </row>
    <row r="5" spans="1:16" s="17" customFormat="1">
      <c r="A5" s="24" t="s">
        <v>2</v>
      </c>
      <c r="B5" s="24"/>
      <c r="C5" s="30" t="s">
        <v>63</v>
      </c>
      <c r="D5" s="31"/>
      <c r="E5" s="27"/>
      <c r="F5" s="28"/>
      <c r="G5" s="29"/>
      <c r="H5" s="29"/>
      <c r="I5" s="6"/>
      <c r="J5" s="6"/>
      <c r="K5" s="6"/>
      <c r="L5" s="6"/>
      <c r="M5" s="6"/>
      <c r="N5" s="6"/>
      <c r="O5" s="6"/>
      <c r="P5" s="6"/>
    </row>
    <row r="6" spans="1:16" s="17" customFormat="1">
      <c r="A6" s="24" t="s">
        <v>64</v>
      </c>
      <c r="B6" s="24"/>
      <c r="C6" s="30" t="s">
        <v>65</v>
      </c>
      <c r="D6" s="31"/>
      <c r="E6" s="27"/>
      <c r="F6" s="28"/>
      <c r="G6" s="29"/>
      <c r="H6" s="29"/>
      <c r="I6" s="6"/>
      <c r="J6" s="6"/>
      <c r="K6" s="6"/>
      <c r="L6" s="6"/>
      <c r="M6" s="6"/>
      <c r="N6" s="6"/>
      <c r="O6" s="6"/>
      <c r="P6" s="6"/>
    </row>
    <row r="7" spans="1:16" s="17" customFormat="1">
      <c r="A7" s="24" t="s">
        <v>3</v>
      </c>
      <c r="B7" s="24"/>
      <c r="C7" s="30" t="s">
        <v>66</v>
      </c>
      <c r="D7" s="31"/>
      <c r="E7" s="27"/>
      <c r="F7" s="28"/>
      <c r="G7" s="29"/>
      <c r="H7" s="29"/>
      <c r="I7" s="6"/>
      <c r="J7" s="6"/>
      <c r="K7" s="6"/>
      <c r="L7" s="6"/>
      <c r="M7" s="6"/>
      <c r="N7" s="6"/>
      <c r="O7" s="6"/>
      <c r="P7" s="6"/>
    </row>
    <row r="8" spans="1:16" s="17" customFormat="1">
      <c r="A8" s="32" t="s">
        <v>67</v>
      </c>
      <c r="B8" s="24"/>
      <c r="C8" s="30" t="s">
        <v>4</v>
      </c>
      <c r="D8" s="31"/>
      <c r="E8" s="27"/>
      <c r="F8" s="28"/>
      <c r="G8" s="29"/>
      <c r="H8" s="29"/>
      <c r="I8" s="6"/>
      <c r="J8" s="6"/>
      <c r="K8" s="6"/>
      <c r="L8" s="6"/>
      <c r="M8" s="6"/>
      <c r="N8" s="6"/>
      <c r="O8" s="6"/>
      <c r="P8" s="6"/>
    </row>
    <row r="9" spans="1:16" s="17" customFormat="1">
      <c r="A9" s="24" t="s">
        <v>29</v>
      </c>
      <c r="B9" s="24"/>
      <c r="C9" s="30" t="s">
        <v>4</v>
      </c>
      <c r="D9" s="31"/>
      <c r="E9" s="27"/>
      <c r="F9" s="28"/>
      <c r="G9" s="29"/>
      <c r="H9" s="29"/>
      <c r="I9" s="6"/>
      <c r="J9" s="6"/>
      <c r="K9" s="6"/>
      <c r="L9" s="6"/>
      <c r="M9" s="6"/>
      <c r="N9" s="6"/>
      <c r="O9" s="6"/>
      <c r="P9" s="6"/>
    </row>
    <row r="10" spans="1:16" s="17" customFormat="1">
      <c r="A10" s="24" t="s">
        <v>5</v>
      </c>
      <c r="B10" s="24"/>
      <c r="C10" s="30" t="s">
        <v>74</v>
      </c>
      <c r="D10" s="31"/>
      <c r="E10" s="33"/>
      <c r="F10" s="34"/>
      <c r="G10" s="35"/>
      <c r="H10" s="35"/>
      <c r="I10" s="7"/>
      <c r="J10" s="7"/>
      <c r="K10" s="7"/>
      <c r="L10" s="7"/>
      <c r="M10" s="7"/>
      <c r="N10" s="7"/>
      <c r="O10" s="7"/>
      <c r="P10" s="7"/>
    </row>
    <row r="11" spans="1:16" s="17" customFormat="1" ht="13.8" thickBot="1">
      <c r="A11" s="20"/>
      <c r="B11" s="20"/>
      <c r="C11" s="20"/>
      <c r="D11" s="20"/>
      <c r="E11" s="20"/>
      <c r="F11" s="20"/>
      <c r="G11" s="20"/>
      <c r="H11" s="20"/>
    </row>
    <row r="12" spans="1:16">
      <c r="A12" s="150" t="s">
        <v>11</v>
      </c>
      <c r="B12" s="151"/>
      <c r="C12" s="151"/>
      <c r="D12" s="152"/>
      <c r="E12" s="156" t="s">
        <v>12</v>
      </c>
      <c r="F12" s="165" t="s">
        <v>13</v>
      </c>
      <c r="G12" s="159" t="s">
        <v>14</v>
      </c>
      <c r="H12" s="160"/>
    </row>
    <row r="13" spans="1:16" ht="36.6" thickBot="1">
      <c r="A13" s="101" t="s">
        <v>15</v>
      </c>
      <c r="B13" s="102" t="s">
        <v>16</v>
      </c>
      <c r="C13" s="103" t="s">
        <v>17</v>
      </c>
      <c r="D13" s="103" t="s">
        <v>18</v>
      </c>
      <c r="E13" s="157"/>
      <c r="F13" s="166"/>
      <c r="G13" s="104" t="s">
        <v>19</v>
      </c>
      <c r="H13" s="105" t="s">
        <v>20</v>
      </c>
    </row>
    <row r="14" spans="1:16" s="9" customFormat="1" ht="15.6" thickBot="1">
      <c r="A14" s="36" t="s">
        <v>21</v>
      </c>
      <c r="B14" s="37"/>
      <c r="C14" s="38" t="s">
        <v>26</v>
      </c>
      <c r="D14" s="39"/>
      <c r="E14" s="39"/>
      <c r="F14" s="167"/>
      <c r="G14" s="40"/>
      <c r="H14" s="41"/>
    </row>
    <row r="15" spans="1:16" s="17" customFormat="1" ht="66">
      <c r="A15" s="44">
        <v>1</v>
      </c>
      <c r="B15" s="45" t="s">
        <v>71</v>
      </c>
      <c r="C15" s="46" t="s">
        <v>85</v>
      </c>
      <c r="D15" s="47" t="s">
        <v>22</v>
      </c>
      <c r="E15" s="112">
        <v>1</v>
      </c>
      <c r="F15" s="138"/>
      <c r="G15" s="48"/>
      <c r="H15" s="49">
        <f>E15*F15</f>
        <v>0</v>
      </c>
    </row>
    <row r="16" spans="1:16" s="17" customFormat="1" ht="66">
      <c r="A16" s="50">
        <f>A15+1</f>
        <v>2</v>
      </c>
      <c r="B16" s="51" t="s">
        <v>72</v>
      </c>
      <c r="C16" s="52" t="s">
        <v>86</v>
      </c>
      <c r="D16" s="53" t="s">
        <v>22</v>
      </c>
      <c r="E16" s="113">
        <v>1</v>
      </c>
      <c r="F16" s="122"/>
      <c r="G16" s="55"/>
      <c r="H16" s="56">
        <f>E16*F16</f>
        <v>0</v>
      </c>
    </row>
    <row r="17" spans="1:9" s="17" customFormat="1" ht="66">
      <c r="A17" s="50">
        <f t="shared" ref="A17:A45" si="0">A16+1</f>
        <v>3</v>
      </c>
      <c r="B17" s="51" t="s">
        <v>72</v>
      </c>
      <c r="C17" s="52" t="s">
        <v>87</v>
      </c>
      <c r="D17" s="53" t="s">
        <v>22</v>
      </c>
      <c r="E17" s="113">
        <v>4</v>
      </c>
      <c r="F17" s="122"/>
      <c r="G17" s="55"/>
      <c r="H17" s="56">
        <f>E17*F17</f>
        <v>0</v>
      </c>
    </row>
    <row r="18" spans="1:9" s="17" customFormat="1" ht="66">
      <c r="A18" s="50">
        <f t="shared" si="0"/>
        <v>4</v>
      </c>
      <c r="B18" s="51" t="s">
        <v>73</v>
      </c>
      <c r="C18" s="52" t="s">
        <v>88</v>
      </c>
      <c r="D18" s="53" t="s">
        <v>22</v>
      </c>
      <c r="E18" s="113">
        <v>1</v>
      </c>
      <c r="F18" s="122"/>
      <c r="G18" s="54"/>
      <c r="H18" s="57">
        <f>E18*F18</f>
        <v>0</v>
      </c>
    </row>
    <row r="19" spans="1:9" s="17" customFormat="1" ht="79.95" customHeight="1">
      <c r="A19" s="50">
        <f t="shared" si="0"/>
        <v>5</v>
      </c>
      <c r="B19" s="51" t="s">
        <v>75</v>
      </c>
      <c r="C19" s="52" t="s">
        <v>107</v>
      </c>
      <c r="D19" s="58" t="s">
        <v>22</v>
      </c>
      <c r="E19" s="73">
        <f>E15</f>
        <v>1</v>
      </c>
      <c r="F19" s="168"/>
      <c r="G19" s="54"/>
      <c r="H19" s="57">
        <f t="shared" ref="H19:H20" si="1">E19*F19</f>
        <v>0</v>
      </c>
    </row>
    <row r="20" spans="1:9" s="17" customFormat="1" ht="79.95" customHeight="1">
      <c r="A20" s="50">
        <f t="shared" si="0"/>
        <v>6</v>
      </c>
      <c r="B20" s="51" t="s">
        <v>76</v>
      </c>
      <c r="C20" s="52" t="s">
        <v>106</v>
      </c>
      <c r="D20" s="58" t="s">
        <v>22</v>
      </c>
      <c r="E20" s="73">
        <f>E16</f>
        <v>1</v>
      </c>
      <c r="F20" s="168"/>
      <c r="G20" s="54"/>
      <c r="H20" s="57">
        <f t="shared" si="1"/>
        <v>0</v>
      </c>
    </row>
    <row r="21" spans="1:9" s="17" customFormat="1" ht="79.95" customHeight="1">
      <c r="A21" s="50">
        <f t="shared" si="0"/>
        <v>7</v>
      </c>
      <c r="B21" s="51" t="s">
        <v>77</v>
      </c>
      <c r="C21" s="52" t="s">
        <v>105</v>
      </c>
      <c r="D21" s="58" t="s">
        <v>22</v>
      </c>
      <c r="E21" s="73">
        <f>E17</f>
        <v>4</v>
      </c>
      <c r="F21" s="168"/>
      <c r="G21" s="54"/>
      <c r="H21" s="57">
        <f t="shared" ref="H21" si="2">E21*F21</f>
        <v>0</v>
      </c>
    </row>
    <row r="22" spans="1:9" s="17" customFormat="1" ht="79.95" customHeight="1">
      <c r="A22" s="50">
        <f t="shared" si="0"/>
        <v>8</v>
      </c>
      <c r="B22" s="51" t="s">
        <v>78</v>
      </c>
      <c r="C22" s="52" t="s">
        <v>104</v>
      </c>
      <c r="D22" s="58" t="s">
        <v>22</v>
      </c>
      <c r="E22" s="73">
        <f>E18</f>
        <v>1</v>
      </c>
      <c r="F22" s="168"/>
      <c r="G22" s="54"/>
      <c r="H22" s="57">
        <f t="shared" ref="H22:H27" si="3">E22*F22</f>
        <v>0</v>
      </c>
    </row>
    <row r="23" spans="1:9" s="17" customFormat="1" ht="39.6">
      <c r="A23" s="50">
        <f t="shared" si="0"/>
        <v>9</v>
      </c>
      <c r="B23" s="51" t="s">
        <v>102</v>
      </c>
      <c r="C23" s="52" t="s">
        <v>103</v>
      </c>
      <c r="D23" s="58" t="s">
        <v>24</v>
      </c>
      <c r="E23" s="73">
        <f>E15*0.0654+E16*0.106+E17*0.1884+E18*0.6392*1.03</f>
        <v>1.5833759999999999</v>
      </c>
      <c r="F23" s="168"/>
      <c r="G23" s="54"/>
      <c r="H23" s="57">
        <f t="shared" si="3"/>
        <v>0</v>
      </c>
    </row>
    <row r="24" spans="1:9" s="17" customFormat="1" ht="26.4">
      <c r="A24" s="50">
        <f t="shared" si="0"/>
        <v>10</v>
      </c>
      <c r="B24" s="98" t="s">
        <v>92</v>
      </c>
      <c r="C24" s="98" t="s">
        <v>99</v>
      </c>
      <c r="D24" s="99" t="s">
        <v>93</v>
      </c>
      <c r="E24" s="73">
        <f>E15*0.0654+E16*0.106+E17*0.1884+E18*0.6392*1.03</f>
        <v>1.5833759999999999</v>
      </c>
      <c r="F24" s="168"/>
      <c r="G24" s="54"/>
      <c r="H24" s="57">
        <f t="shared" si="3"/>
        <v>0</v>
      </c>
    </row>
    <row r="25" spans="1:9" s="17" customFormat="1" ht="26.4">
      <c r="A25" s="50">
        <f t="shared" si="0"/>
        <v>11</v>
      </c>
      <c r="B25" s="98" t="s">
        <v>94</v>
      </c>
      <c r="C25" s="98" t="s">
        <v>95</v>
      </c>
      <c r="D25" s="99" t="s">
        <v>24</v>
      </c>
      <c r="E25" s="114">
        <f>E24*0.7</f>
        <v>1.1083631999999999</v>
      </c>
      <c r="F25" s="168"/>
      <c r="G25" s="54"/>
      <c r="H25" s="57">
        <f t="shared" si="3"/>
        <v>0</v>
      </c>
    </row>
    <row r="26" spans="1:9" s="17" customFormat="1" ht="26.4">
      <c r="A26" s="50">
        <f t="shared" si="0"/>
        <v>12</v>
      </c>
      <c r="B26" s="98" t="s">
        <v>96</v>
      </c>
      <c r="C26" s="98" t="s">
        <v>97</v>
      </c>
      <c r="D26" s="99" t="s">
        <v>24</v>
      </c>
      <c r="E26" s="114">
        <f>E25*2</f>
        <v>2.2167263999999998</v>
      </c>
      <c r="F26" s="168"/>
      <c r="G26" s="54"/>
      <c r="H26" s="57">
        <f t="shared" si="3"/>
        <v>0</v>
      </c>
    </row>
    <row r="27" spans="1:9" s="17" customFormat="1">
      <c r="A27" s="50">
        <f t="shared" si="0"/>
        <v>13</v>
      </c>
      <c r="B27" s="98" t="s">
        <v>98</v>
      </c>
      <c r="C27" s="98" t="s">
        <v>108</v>
      </c>
      <c r="D27" s="100" t="s">
        <v>24</v>
      </c>
      <c r="E27" s="114">
        <f>E25</f>
        <v>1.1083631999999999</v>
      </c>
      <c r="F27" s="168"/>
      <c r="G27" s="54"/>
      <c r="H27" s="57">
        <f t="shared" si="3"/>
        <v>0</v>
      </c>
    </row>
    <row r="28" spans="1:9" s="10" customFormat="1" ht="108">
      <c r="A28" s="50">
        <f t="shared" si="0"/>
        <v>14</v>
      </c>
      <c r="B28" s="51" t="s">
        <v>84</v>
      </c>
      <c r="C28" s="52" t="s">
        <v>89</v>
      </c>
      <c r="D28" s="58" t="s">
        <v>79</v>
      </c>
      <c r="E28" s="73">
        <f>(10.6+24.1+18.8+4.5+13.4+20+10.8+2.9)*1.05</f>
        <v>110.35500000000002</v>
      </c>
      <c r="F28" s="168"/>
      <c r="G28" s="54"/>
      <c r="H28" s="57">
        <f t="shared" ref="H28:H33" si="4">E28*F28</f>
        <v>0</v>
      </c>
      <c r="I28" s="12"/>
    </row>
    <row r="29" spans="1:9" s="17" customFormat="1" ht="134.4">
      <c r="A29" s="50">
        <f t="shared" si="0"/>
        <v>15</v>
      </c>
      <c r="B29" s="51" t="s">
        <v>90</v>
      </c>
      <c r="C29" s="52" t="s">
        <v>91</v>
      </c>
      <c r="D29" s="58" t="s">
        <v>79</v>
      </c>
      <c r="E29" s="73">
        <f>(4+2+3+2+3+6+5+1+2+16+2+8+0.5+6+19+26+10+2+4+4+1+4+1)*1.05</f>
        <v>138.07500000000002</v>
      </c>
      <c r="F29" s="168"/>
      <c r="G29" s="54"/>
      <c r="H29" s="57">
        <f t="shared" si="4"/>
        <v>0</v>
      </c>
    </row>
    <row r="30" spans="1:9" s="17" customFormat="1" ht="26.4">
      <c r="A30" s="50">
        <f t="shared" si="0"/>
        <v>16</v>
      </c>
      <c r="B30" s="98" t="s">
        <v>92</v>
      </c>
      <c r="C30" s="98" t="s">
        <v>99</v>
      </c>
      <c r="D30" s="99" t="s">
        <v>93</v>
      </c>
      <c r="E30" s="73">
        <f>E28*0.0117+E29*0.0167*1.03</f>
        <v>3.6661815750000004</v>
      </c>
      <c r="F30" s="168"/>
      <c r="G30" s="54"/>
      <c r="H30" s="57">
        <f t="shared" si="4"/>
        <v>0</v>
      </c>
    </row>
    <row r="31" spans="1:9" s="17" customFormat="1" ht="26.4">
      <c r="A31" s="50">
        <f t="shared" si="0"/>
        <v>17</v>
      </c>
      <c r="B31" s="98" t="s">
        <v>94</v>
      </c>
      <c r="C31" s="98" t="s">
        <v>95</v>
      </c>
      <c r="D31" s="99" t="s">
        <v>24</v>
      </c>
      <c r="E31" s="114">
        <f>E30*0.7</f>
        <v>2.5663271025000003</v>
      </c>
      <c r="F31" s="168"/>
      <c r="G31" s="54"/>
      <c r="H31" s="57">
        <f t="shared" si="4"/>
        <v>0</v>
      </c>
    </row>
    <row r="32" spans="1:9" s="17" customFormat="1" ht="26.4">
      <c r="A32" s="50">
        <f t="shared" si="0"/>
        <v>18</v>
      </c>
      <c r="B32" s="98" t="s">
        <v>96</v>
      </c>
      <c r="C32" s="98" t="s">
        <v>97</v>
      </c>
      <c r="D32" s="99" t="s">
        <v>24</v>
      </c>
      <c r="E32" s="114">
        <f>E31*2</f>
        <v>5.1326542050000006</v>
      </c>
      <c r="F32" s="168"/>
      <c r="G32" s="54"/>
      <c r="H32" s="57">
        <f t="shared" si="4"/>
        <v>0</v>
      </c>
    </row>
    <row r="33" spans="1:8" s="17" customFormat="1">
      <c r="A33" s="50">
        <f t="shared" si="0"/>
        <v>19</v>
      </c>
      <c r="B33" s="98" t="s">
        <v>98</v>
      </c>
      <c r="C33" s="98" t="s">
        <v>108</v>
      </c>
      <c r="D33" s="100" t="s">
        <v>24</v>
      </c>
      <c r="E33" s="114">
        <f>E31</f>
        <v>2.5663271025000003</v>
      </c>
      <c r="F33" s="168"/>
      <c r="G33" s="54"/>
      <c r="H33" s="57">
        <f t="shared" si="4"/>
        <v>0</v>
      </c>
    </row>
    <row r="34" spans="1:8" s="17" customFormat="1" ht="52.8">
      <c r="A34" s="50">
        <f t="shared" si="0"/>
        <v>20</v>
      </c>
      <c r="B34" s="51" t="s">
        <v>28</v>
      </c>
      <c r="C34" s="52" t="s">
        <v>100</v>
      </c>
      <c r="D34" s="58" t="s">
        <v>79</v>
      </c>
      <c r="E34" s="73">
        <f>(14.5+12+6+8)*1.05</f>
        <v>42.524999999999999</v>
      </c>
      <c r="F34" s="168"/>
      <c r="G34" s="54"/>
      <c r="H34" s="57">
        <f t="shared" ref="H34:H39" si="5">E34*F34</f>
        <v>0</v>
      </c>
    </row>
    <row r="35" spans="1:8" s="17" customFormat="1" ht="26.4">
      <c r="A35" s="50">
        <f t="shared" si="0"/>
        <v>21</v>
      </c>
      <c r="B35" s="98" t="s">
        <v>92</v>
      </c>
      <c r="C35" s="98" t="s">
        <v>99</v>
      </c>
      <c r="D35" s="99" t="s">
        <v>93</v>
      </c>
      <c r="E35" s="73">
        <f>E34*0.1*1.03</f>
        <v>4.3800750000000006</v>
      </c>
      <c r="F35" s="168"/>
      <c r="G35" s="54"/>
      <c r="H35" s="57">
        <f t="shared" si="5"/>
        <v>0</v>
      </c>
    </row>
    <row r="36" spans="1:8" s="17" customFormat="1" ht="26.4">
      <c r="A36" s="50">
        <f t="shared" si="0"/>
        <v>22</v>
      </c>
      <c r="B36" s="98" t="s">
        <v>94</v>
      </c>
      <c r="C36" s="98" t="s">
        <v>95</v>
      </c>
      <c r="D36" s="99" t="s">
        <v>24</v>
      </c>
      <c r="E36" s="114">
        <f>E35*0.4</f>
        <v>1.7520300000000004</v>
      </c>
      <c r="F36" s="168"/>
      <c r="G36" s="54"/>
      <c r="H36" s="57">
        <f t="shared" si="5"/>
        <v>0</v>
      </c>
    </row>
    <row r="37" spans="1:8" s="17" customFormat="1" ht="26.4">
      <c r="A37" s="50">
        <f t="shared" si="0"/>
        <v>23</v>
      </c>
      <c r="B37" s="98" t="s">
        <v>96</v>
      </c>
      <c r="C37" s="98" t="s">
        <v>97</v>
      </c>
      <c r="D37" s="99" t="s">
        <v>24</v>
      </c>
      <c r="E37" s="114">
        <f>E36*2</f>
        <v>3.5040600000000008</v>
      </c>
      <c r="F37" s="168"/>
      <c r="G37" s="54"/>
      <c r="H37" s="57">
        <f t="shared" si="5"/>
        <v>0</v>
      </c>
    </row>
    <row r="38" spans="1:8" s="17" customFormat="1">
      <c r="A38" s="50">
        <f t="shared" si="0"/>
        <v>24</v>
      </c>
      <c r="B38" s="98" t="s">
        <v>98</v>
      </c>
      <c r="C38" s="98" t="s">
        <v>108</v>
      </c>
      <c r="D38" s="100" t="s">
        <v>24</v>
      </c>
      <c r="E38" s="114">
        <f>E36</f>
        <v>1.7520300000000004</v>
      </c>
      <c r="F38" s="168"/>
      <c r="G38" s="54"/>
      <c r="H38" s="57">
        <f t="shared" si="5"/>
        <v>0</v>
      </c>
    </row>
    <row r="39" spans="1:8" s="17" customFormat="1" ht="55.2" customHeight="1">
      <c r="A39" s="50">
        <f t="shared" si="0"/>
        <v>25</v>
      </c>
      <c r="B39" s="51" t="s">
        <v>33</v>
      </c>
      <c r="C39" s="52" t="s">
        <v>101</v>
      </c>
      <c r="D39" s="58" t="s">
        <v>79</v>
      </c>
      <c r="E39" s="73">
        <f>(61+129+101-4.5+112-13.5+241+108+21+25+29-3)*1.05</f>
        <v>846.30000000000007</v>
      </c>
      <c r="F39" s="168"/>
      <c r="G39" s="54"/>
      <c r="H39" s="57">
        <f t="shared" si="5"/>
        <v>0</v>
      </c>
    </row>
    <row r="40" spans="1:8" s="17" customFormat="1" ht="28.8">
      <c r="A40" s="50">
        <f t="shared" si="0"/>
        <v>26</v>
      </c>
      <c r="B40" s="98" t="s">
        <v>168</v>
      </c>
      <c r="C40" s="98" t="s">
        <v>169</v>
      </c>
      <c r="D40" s="100" t="s">
        <v>22</v>
      </c>
      <c r="E40" s="114">
        <v>1</v>
      </c>
      <c r="F40" s="168"/>
      <c r="G40" s="54"/>
      <c r="H40" s="57">
        <f t="shared" ref="H40:H45" si="6">E40*F40</f>
        <v>0</v>
      </c>
    </row>
    <row r="41" spans="1:8" s="17" customFormat="1" ht="28.8">
      <c r="A41" s="50">
        <f t="shared" si="0"/>
        <v>27</v>
      </c>
      <c r="B41" s="98" t="s">
        <v>167</v>
      </c>
      <c r="C41" s="98" t="s">
        <v>170</v>
      </c>
      <c r="D41" s="100" t="s">
        <v>22</v>
      </c>
      <c r="E41" s="114">
        <v>1</v>
      </c>
      <c r="F41" s="168"/>
      <c r="G41" s="54"/>
      <c r="H41" s="57">
        <f t="shared" si="6"/>
        <v>0</v>
      </c>
    </row>
    <row r="42" spans="1:8" s="17" customFormat="1" ht="26.4">
      <c r="A42" s="50">
        <f t="shared" si="0"/>
        <v>28</v>
      </c>
      <c r="B42" s="98" t="s">
        <v>92</v>
      </c>
      <c r="C42" s="98" t="s">
        <v>99</v>
      </c>
      <c r="D42" s="99" t="s">
        <v>93</v>
      </c>
      <c r="E42" s="73">
        <f>(E40+E41)*0.0654*1.03</f>
        <v>0.13472400000000001</v>
      </c>
      <c r="F42" s="168"/>
      <c r="G42" s="54"/>
      <c r="H42" s="57">
        <f t="shared" si="6"/>
        <v>0</v>
      </c>
    </row>
    <row r="43" spans="1:8" s="17" customFormat="1" ht="26.4">
      <c r="A43" s="50">
        <f t="shared" si="0"/>
        <v>29</v>
      </c>
      <c r="B43" s="98" t="s">
        <v>94</v>
      </c>
      <c r="C43" s="98" t="s">
        <v>95</v>
      </c>
      <c r="D43" s="99" t="s">
        <v>24</v>
      </c>
      <c r="E43" s="114">
        <f>E42*0.7</f>
        <v>9.4306799999999996E-2</v>
      </c>
      <c r="F43" s="168"/>
      <c r="G43" s="54"/>
      <c r="H43" s="57">
        <f t="shared" si="6"/>
        <v>0</v>
      </c>
    </row>
    <row r="44" spans="1:8" s="17" customFormat="1" ht="26.4">
      <c r="A44" s="50">
        <f t="shared" si="0"/>
        <v>30</v>
      </c>
      <c r="B44" s="98" t="s">
        <v>96</v>
      </c>
      <c r="C44" s="98" t="s">
        <v>97</v>
      </c>
      <c r="D44" s="99" t="s">
        <v>24</v>
      </c>
      <c r="E44" s="114">
        <f>E43*2</f>
        <v>0.18861359999999999</v>
      </c>
      <c r="F44" s="168"/>
      <c r="G44" s="54"/>
      <c r="H44" s="57">
        <f t="shared" si="6"/>
        <v>0</v>
      </c>
    </row>
    <row r="45" spans="1:8" s="17" customFormat="1" ht="13.8" thickBot="1">
      <c r="A45" s="50">
        <f t="shared" si="0"/>
        <v>31</v>
      </c>
      <c r="B45" s="98" t="s">
        <v>98</v>
      </c>
      <c r="C45" s="98" t="s">
        <v>108</v>
      </c>
      <c r="D45" s="100" t="s">
        <v>24</v>
      </c>
      <c r="E45" s="114">
        <f>E43</f>
        <v>9.4306799999999996E-2</v>
      </c>
      <c r="F45" s="168"/>
      <c r="G45" s="54"/>
      <c r="H45" s="57">
        <f t="shared" si="6"/>
        <v>0</v>
      </c>
    </row>
    <row r="46" spans="1:8" s="9" customFormat="1" ht="13.8" thickBot="1">
      <c r="A46" s="163" t="s">
        <v>27</v>
      </c>
      <c r="B46" s="164"/>
      <c r="C46" s="164"/>
      <c r="D46" s="42"/>
      <c r="E46" s="42"/>
      <c r="F46" s="169"/>
      <c r="G46" s="43"/>
      <c r="H46" s="64">
        <f>SUM(G15:H45)</f>
        <v>0</v>
      </c>
    </row>
    <row r="47" spans="1:8" s="17" customFormat="1" ht="15.6" thickBot="1">
      <c r="A47" s="36" t="s">
        <v>21</v>
      </c>
      <c r="B47" s="65"/>
      <c r="C47" s="38" t="s">
        <v>36</v>
      </c>
      <c r="D47" s="39"/>
      <c r="E47" s="39"/>
      <c r="F47" s="167"/>
      <c r="G47" s="40"/>
      <c r="H47" s="41"/>
    </row>
    <row r="48" spans="1:8" s="17" customFormat="1" ht="15" customHeight="1" thickBot="1">
      <c r="A48" s="106"/>
      <c r="B48" s="130" t="s">
        <v>21</v>
      </c>
      <c r="C48" s="131" t="s">
        <v>109</v>
      </c>
      <c r="D48" s="107"/>
      <c r="E48" s="107"/>
      <c r="F48" s="170"/>
      <c r="G48" s="108"/>
      <c r="H48" s="109"/>
    </row>
    <row r="49" spans="1:8" s="17" customFormat="1" ht="42">
      <c r="A49" s="44">
        <f>A45+1</f>
        <v>32</v>
      </c>
      <c r="B49" s="45" t="s">
        <v>110</v>
      </c>
      <c r="C49" s="46" t="s">
        <v>111</v>
      </c>
      <c r="D49" s="47" t="s">
        <v>22</v>
      </c>
      <c r="E49" s="112">
        <v>2</v>
      </c>
      <c r="F49" s="138"/>
      <c r="G49" s="66"/>
      <c r="H49" s="67">
        <f>E49*F49</f>
        <v>0</v>
      </c>
    </row>
    <row r="50" spans="1:8" s="17" customFormat="1" ht="15.6">
      <c r="A50" s="50">
        <f>A49+1</f>
        <v>33</v>
      </c>
      <c r="B50" s="51" t="s">
        <v>38</v>
      </c>
      <c r="C50" s="52" t="s">
        <v>39</v>
      </c>
      <c r="D50" s="58" t="s">
        <v>80</v>
      </c>
      <c r="E50" s="115">
        <f>E52</f>
        <v>0.1</v>
      </c>
      <c r="F50" s="171"/>
      <c r="G50" s="55"/>
      <c r="H50" s="56">
        <f>E50*F50</f>
        <v>0</v>
      </c>
    </row>
    <row r="51" spans="1:8" s="17" customFormat="1" ht="15.6">
      <c r="A51" s="50">
        <f t="shared" ref="A51:A70" si="7">A50+1</f>
        <v>34</v>
      </c>
      <c r="B51" s="51" t="s">
        <v>40</v>
      </c>
      <c r="C51" s="52" t="s">
        <v>81</v>
      </c>
      <c r="D51" s="58" t="s">
        <v>80</v>
      </c>
      <c r="E51" s="115">
        <f>E52</f>
        <v>0.1</v>
      </c>
      <c r="F51" s="171"/>
      <c r="G51" s="55"/>
      <c r="H51" s="56">
        <f>E51*F51</f>
        <v>0</v>
      </c>
    </row>
    <row r="52" spans="1:8" s="17" customFormat="1" ht="15.6">
      <c r="A52" s="50">
        <f t="shared" si="7"/>
        <v>35</v>
      </c>
      <c r="B52" s="51" t="s">
        <v>23</v>
      </c>
      <c r="C52" s="52" t="s">
        <v>41</v>
      </c>
      <c r="D52" s="58" t="s">
        <v>80</v>
      </c>
      <c r="E52" s="115">
        <f>E49*50/1000</f>
        <v>0.1</v>
      </c>
      <c r="F52" s="171"/>
      <c r="G52" s="55">
        <f>E52*F52</f>
        <v>0</v>
      </c>
      <c r="H52" s="56"/>
    </row>
    <row r="53" spans="1:8" s="17" customFormat="1" ht="15.6">
      <c r="A53" s="50">
        <f t="shared" si="7"/>
        <v>36</v>
      </c>
      <c r="B53" s="110" t="s">
        <v>23</v>
      </c>
      <c r="C53" s="110" t="s">
        <v>119</v>
      </c>
      <c r="D53" s="111" t="s">
        <v>80</v>
      </c>
      <c r="E53" s="115">
        <f>E49*1*1.03</f>
        <v>2.06</v>
      </c>
      <c r="F53" s="171"/>
      <c r="G53" s="55">
        <f>E53*F53</f>
        <v>0</v>
      </c>
      <c r="H53" s="56"/>
    </row>
    <row r="54" spans="1:8" s="17" customFormat="1" ht="26.4">
      <c r="A54" s="50">
        <f t="shared" si="7"/>
        <v>37</v>
      </c>
      <c r="B54" s="51" t="s">
        <v>132</v>
      </c>
      <c r="C54" s="52" t="s">
        <v>133</v>
      </c>
      <c r="D54" s="53" t="s">
        <v>22</v>
      </c>
      <c r="E54" s="73">
        <f>E49</f>
        <v>2</v>
      </c>
      <c r="F54" s="168"/>
      <c r="G54" s="59"/>
      <c r="H54" s="56">
        <f>E54*F54</f>
        <v>0</v>
      </c>
    </row>
    <row r="55" spans="1:8" s="17" customFormat="1" ht="39.6">
      <c r="A55" s="50">
        <f t="shared" si="7"/>
        <v>38</v>
      </c>
      <c r="B55" s="51" t="s">
        <v>23</v>
      </c>
      <c r="C55" s="52" t="s">
        <v>179</v>
      </c>
      <c r="D55" s="53" t="s">
        <v>22</v>
      </c>
      <c r="E55" s="73">
        <v>2</v>
      </c>
      <c r="F55" s="168"/>
      <c r="G55" s="55">
        <f>E55*F55</f>
        <v>0</v>
      </c>
      <c r="H55" s="56"/>
    </row>
    <row r="56" spans="1:8" s="17" customFormat="1" ht="26.4">
      <c r="A56" s="50">
        <f t="shared" si="7"/>
        <v>39</v>
      </c>
      <c r="B56" s="110" t="s">
        <v>43</v>
      </c>
      <c r="C56" s="110" t="s">
        <v>112</v>
      </c>
      <c r="D56" s="53" t="s">
        <v>24</v>
      </c>
      <c r="E56" s="73">
        <f>E49*12*10/10000</f>
        <v>2.4E-2</v>
      </c>
      <c r="F56" s="168"/>
      <c r="G56" s="59"/>
      <c r="H56" s="56">
        <f t="shared" ref="H56" si="8">E56*F56</f>
        <v>0</v>
      </c>
    </row>
    <row r="57" spans="1:8" s="17" customFormat="1" ht="26.4">
      <c r="A57" s="50">
        <f t="shared" si="7"/>
        <v>40</v>
      </c>
      <c r="B57" s="110" t="s">
        <v>113</v>
      </c>
      <c r="C57" s="110" t="s">
        <v>114</v>
      </c>
      <c r="D57" s="111" t="s">
        <v>46</v>
      </c>
      <c r="E57" s="73">
        <f>E49*12*10/1000</f>
        <v>0.24</v>
      </c>
      <c r="F57" s="168"/>
      <c r="G57" s="59">
        <f t="shared" ref="G57" si="9">E57*F57</f>
        <v>0</v>
      </c>
      <c r="H57" s="56"/>
    </row>
    <row r="58" spans="1:8" s="17" customFormat="1" ht="39.6">
      <c r="A58" s="50">
        <f t="shared" si="7"/>
        <v>41</v>
      </c>
      <c r="B58" s="51" t="s">
        <v>117</v>
      </c>
      <c r="C58" s="70" t="s">
        <v>149</v>
      </c>
      <c r="D58" s="53" t="s">
        <v>22</v>
      </c>
      <c r="E58" s="73">
        <f>E49</f>
        <v>2</v>
      </c>
      <c r="F58" s="168"/>
      <c r="G58" s="59"/>
      <c r="H58" s="56">
        <f>E58*F58</f>
        <v>0</v>
      </c>
    </row>
    <row r="59" spans="1:8" s="17" customFormat="1" ht="26.4">
      <c r="A59" s="50">
        <f t="shared" si="7"/>
        <v>42</v>
      </c>
      <c r="B59" s="51" t="s">
        <v>23</v>
      </c>
      <c r="C59" s="52" t="s">
        <v>148</v>
      </c>
      <c r="D59" s="53" t="s">
        <v>22</v>
      </c>
      <c r="E59" s="73">
        <f>E49*3</f>
        <v>6</v>
      </c>
      <c r="F59" s="168"/>
      <c r="G59" s="59">
        <f>E59*F59</f>
        <v>0</v>
      </c>
      <c r="H59" s="56"/>
    </row>
    <row r="60" spans="1:8" s="17" customFormat="1" ht="39.6">
      <c r="A60" s="50">
        <f t="shared" si="7"/>
        <v>43</v>
      </c>
      <c r="B60" s="51" t="s">
        <v>23</v>
      </c>
      <c r="C60" s="52" t="s">
        <v>127</v>
      </c>
      <c r="D60" s="53" t="s">
        <v>22</v>
      </c>
      <c r="E60" s="73">
        <f>E49*12</f>
        <v>24</v>
      </c>
      <c r="F60" s="168"/>
      <c r="G60" s="59">
        <f>E60*F60</f>
        <v>0</v>
      </c>
      <c r="H60" s="56"/>
    </row>
    <row r="61" spans="1:8" s="17" customFormat="1">
      <c r="A61" s="50">
        <f t="shared" si="7"/>
        <v>44</v>
      </c>
      <c r="B61" s="51" t="s">
        <v>60</v>
      </c>
      <c r="C61" s="52" t="s">
        <v>61</v>
      </c>
      <c r="D61" s="53" t="s">
        <v>22</v>
      </c>
      <c r="E61" s="73">
        <f>E49</f>
        <v>2</v>
      </c>
      <c r="F61" s="168"/>
      <c r="G61" s="59"/>
      <c r="H61" s="56">
        <f>E61*F61</f>
        <v>0</v>
      </c>
    </row>
    <row r="62" spans="1:8" s="17" customFormat="1">
      <c r="A62" s="50">
        <f t="shared" si="7"/>
        <v>45</v>
      </c>
      <c r="B62" s="51" t="s">
        <v>23</v>
      </c>
      <c r="C62" s="52" t="s">
        <v>151</v>
      </c>
      <c r="D62" s="58" t="s">
        <v>22</v>
      </c>
      <c r="E62" s="73">
        <f>E49</f>
        <v>2</v>
      </c>
      <c r="F62" s="171"/>
      <c r="G62" s="59">
        <f>E62*F62</f>
        <v>0</v>
      </c>
      <c r="H62" s="56"/>
    </row>
    <row r="63" spans="1:8" s="17" customFormat="1" ht="39.6">
      <c r="A63" s="50">
        <f t="shared" si="7"/>
        <v>46</v>
      </c>
      <c r="B63" s="51" t="s">
        <v>118</v>
      </c>
      <c r="C63" s="52" t="s">
        <v>150</v>
      </c>
      <c r="D63" s="53" t="s">
        <v>22</v>
      </c>
      <c r="E63" s="73">
        <f>E49</f>
        <v>2</v>
      </c>
      <c r="F63" s="168"/>
      <c r="G63" s="59"/>
      <c r="H63" s="56">
        <f>E63*F63</f>
        <v>0</v>
      </c>
    </row>
    <row r="64" spans="1:8" s="17" customFormat="1" ht="15.6">
      <c r="A64" s="50">
        <f t="shared" si="7"/>
        <v>47</v>
      </c>
      <c r="B64" s="51" t="s">
        <v>38</v>
      </c>
      <c r="C64" s="52" t="s">
        <v>39</v>
      </c>
      <c r="D64" s="58" t="s">
        <v>80</v>
      </c>
      <c r="E64" s="115">
        <f>E66</f>
        <v>0.04</v>
      </c>
      <c r="F64" s="171"/>
      <c r="G64" s="59"/>
      <c r="H64" s="56">
        <f t="shared" ref="H64:H70" si="10">E64*F64</f>
        <v>0</v>
      </c>
    </row>
    <row r="65" spans="1:10" s="17" customFormat="1" ht="28.8">
      <c r="A65" s="50">
        <f t="shared" si="7"/>
        <v>48</v>
      </c>
      <c r="B65" s="51" t="s">
        <v>40</v>
      </c>
      <c r="C65" s="52" t="s">
        <v>82</v>
      </c>
      <c r="D65" s="58" t="s">
        <v>80</v>
      </c>
      <c r="E65" s="115">
        <f>E66</f>
        <v>0.04</v>
      </c>
      <c r="F65" s="171"/>
      <c r="G65" s="59"/>
      <c r="H65" s="56">
        <f t="shared" si="10"/>
        <v>0</v>
      </c>
    </row>
    <row r="66" spans="1:10" s="17" customFormat="1" ht="15.6">
      <c r="A66" s="50">
        <f t="shared" si="7"/>
        <v>49</v>
      </c>
      <c r="B66" s="51" t="s">
        <v>23</v>
      </c>
      <c r="C66" s="52" t="s">
        <v>116</v>
      </c>
      <c r="D66" s="58" t="s">
        <v>80</v>
      </c>
      <c r="E66" s="115">
        <f>E49*20/1000</f>
        <v>0.04</v>
      </c>
      <c r="F66" s="171"/>
      <c r="G66" s="55">
        <f>E66*F66</f>
        <v>0</v>
      </c>
      <c r="H66" s="56"/>
    </row>
    <row r="67" spans="1:10" s="17" customFormat="1" ht="26.4">
      <c r="A67" s="50">
        <f t="shared" si="7"/>
        <v>50</v>
      </c>
      <c r="B67" s="110" t="s">
        <v>121</v>
      </c>
      <c r="C67" s="110" t="s">
        <v>152</v>
      </c>
      <c r="D67" s="111" t="s">
        <v>79</v>
      </c>
      <c r="E67" s="73">
        <f>E49*3.14*0.375*0.375</f>
        <v>0.88312499999999994</v>
      </c>
      <c r="F67" s="122"/>
      <c r="G67" s="55"/>
      <c r="H67" s="56">
        <f t="shared" si="10"/>
        <v>0</v>
      </c>
    </row>
    <row r="68" spans="1:10" s="17" customFormat="1" ht="15.6">
      <c r="A68" s="50">
        <f t="shared" si="7"/>
        <v>51</v>
      </c>
      <c r="B68" s="110" t="s">
        <v>23</v>
      </c>
      <c r="C68" s="110" t="s">
        <v>123</v>
      </c>
      <c r="D68" s="111" t="s">
        <v>80</v>
      </c>
      <c r="E68" s="73">
        <f>E67*0.15*1.03</f>
        <v>0.13644281250000001</v>
      </c>
      <c r="F68" s="122"/>
      <c r="G68" s="55">
        <f t="shared" ref="G68" si="11">E68*F68</f>
        <v>0</v>
      </c>
      <c r="H68" s="56"/>
    </row>
    <row r="69" spans="1:10" s="17" customFormat="1" ht="26.4">
      <c r="A69" s="50">
        <f t="shared" si="7"/>
        <v>52</v>
      </c>
      <c r="B69" s="98" t="s">
        <v>94</v>
      </c>
      <c r="C69" s="98" t="s">
        <v>122</v>
      </c>
      <c r="D69" s="99" t="s">
        <v>24</v>
      </c>
      <c r="E69" s="73">
        <f>E68*0.3</f>
        <v>4.0932843750000003E-2</v>
      </c>
      <c r="F69" s="172"/>
      <c r="G69" s="55"/>
      <c r="H69" s="56">
        <f t="shared" si="10"/>
        <v>0</v>
      </c>
    </row>
    <row r="70" spans="1:10" s="17" customFormat="1" ht="26.4">
      <c r="A70" s="50">
        <f t="shared" si="7"/>
        <v>53</v>
      </c>
      <c r="B70" s="98" t="s">
        <v>96</v>
      </c>
      <c r="C70" s="98" t="s">
        <v>120</v>
      </c>
      <c r="D70" s="99" t="s">
        <v>24</v>
      </c>
      <c r="E70" s="73">
        <f>E68*0.3</f>
        <v>4.0932843750000003E-2</v>
      </c>
      <c r="F70" s="172"/>
      <c r="G70" s="55"/>
      <c r="H70" s="56">
        <f t="shared" si="10"/>
        <v>0</v>
      </c>
    </row>
    <row r="71" spans="1:10" s="17" customFormat="1" ht="13.8" thickBot="1">
      <c r="A71" s="60">
        <f>A70+1</f>
        <v>54</v>
      </c>
      <c r="B71" s="61" t="s">
        <v>48</v>
      </c>
      <c r="C71" s="62" t="s">
        <v>115</v>
      </c>
      <c r="D71" s="78" t="s">
        <v>22</v>
      </c>
      <c r="E71" s="120">
        <f>E49</f>
        <v>2</v>
      </c>
      <c r="F71" s="173"/>
      <c r="G71" s="63"/>
      <c r="H71" s="79">
        <f>E71*F71</f>
        <v>0</v>
      </c>
      <c r="J71" s="5">
        <f>SUM(G49:H71)</f>
        <v>0</v>
      </c>
    </row>
    <row r="72" spans="1:10" s="17" customFormat="1" ht="15" customHeight="1" thickBot="1">
      <c r="A72" s="36"/>
      <c r="B72" s="132" t="s">
        <v>21</v>
      </c>
      <c r="C72" s="133" t="s">
        <v>154</v>
      </c>
      <c r="D72" s="39"/>
      <c r="E72" s="39"/>
      <c r="F72" s="167"/>
      <c r="G72" s="40"/>
      <c r="H72" s="41"/>
    </row>
    <row r="73" spans="1:10" s="17" customFormat="1" ht="42">
      <c r="A73" s="44">
        <f>A71+1</f>
        <v>55</v>
      </c>
      <c r="B73" s="45" t="s">
        <v>125</v>
      </c>
      <c r="C73" s="46" t="s">
        <v>126</v>
      </c>
      <c r="D73" s="47" t="s">
        <v>22</v>
      </c>
      <c r="E73" s="112">
        <v>12</v>
      </c>
      <c r="F73" s="138"/>
      <c r="G73" s="66"/>
      <c r="H73" s="67">
        <f>E73*F73</f>
        <v>0</v>
      </c>
    </row>
    <row r="74" spans="1:10" s="17" customFormat="1" ht="15.6">
      <c r="A74" s="50">
        <f>A73+1</f>
        <v>56</v>
      </c>
      <c r="B74" s="51" t="s">
        <v>38</v>
      </c>
      <c r="C74" s="52" t="s">
        <v>39</v>
      </c>
      <c r="D74" s="58" t="s">
        <v>80</v>
      </c>
      <c r="E74" s="73">
        <f>E76</f>
        <v>0.6</v>
      </c>
      <c r="F74" s="171"/>
      <c r="G74" s="55"/>
      <c r="H74" s="56">
        <f>E74*F74</f>
        <v>0</v>
      </c>
    </row>
    <row r="75" spans="1:10" s="17" customFormat="1" ht="15.6">
      <c r="A75" s="50">
        <f t="shared" ref="A75:A107" si="12">A74+1</f>
        <v>57</v>
      </c>
      <c r="B75" s="51" t="s">
        <v>40</v>
      </c>
      <c r="C75" s="52" t="s">
        <v>81</v>
      </c>
      <c r="D75" s="58" t="s">
        <v>80</v>
      </c>
      <c r="E75" s="73">
        <f>E76</f>
        <v>0.6</v>
      </c>
      <c r="F75" s="171"/>
      <c r="G75" s="55"/>
      <c r="H75" s="56">
        <f>E75*F75</f>
        <v>0</v>
      </c>
    </row>
    <row r="76" spans="1:10" s="17" customFormat="1" ht="15.6">
      <c r="A76" s="50">
        <f t="shared" si="12"/>
        <v>58</v>
      </c>
      <c r="B76" s="51" t="s">
        <v>23</v>
      </c>
      <c r="C76" s="52" t="s">
        <v>41</v>
      </c>
      <c r="D76" s="58" t="s">
        <v>80</v>
      </c>
      <c r="E76" s="73">
        <f>E73*50/1000</f>
        <v>0.6</v>
      </c>
      <c r="F76" s="171"/>
      <c r="G76" s="55">
        <f>E76*F76</f>
        <v>0</v>
      </c>
      <c r="H76" s="56"/>
    </row>
    <row r="77" spans="1:10" s="17" customFormat="1" ht="26.4">
      <c r="A77" s="50">
        <f t="shared" si="12"/>
        <v>59</v>
      </c>
      <c r="B77" s="126" t="s">
        <v>28</v>
      </c>
      <c r="C77" s="126" t="s">
        <v>130</v>
      </c>
      <c r="D77" s="127" t="s">
        <v>128</v>
      </c>
      <c r="E77" s="73">
        <f>E73*1*1*0.15</f>
        <v>1.7999999999999998</v>
      </c>
      <c r="F77" s="174"/>
      <c r="G77" s="55"/>
      <c r="H77" s="56">
        <f t="shared" ref="H77:H87" si="13">E77*F77</f>
        <v>0</v>
      </c>
    </row>
    <row r="78" spans="1:10" s="17" customFormat="1">
      <c r="A78" s="50">
        <f t="shared" si="12"/>
        <v>60</v>
      </c>
      <c r="B78" s="128" t="s">
        <v>23</v>
      </c>
      <c r="C78" s="129" t="s">
        <v>129</v>
      </c>
      <c r="D78" s="99" t="s">
        <v>24</v>
      </c>
      <c r="E78" s="73">
        <f>E77*1.8*1.03</f>
        <v>3.3371999999999997</v>
      </c>
      <c r="F78" s="175"/>
      <c r="G78" s="55">
        <f t="shared" ref="G78:G90" si="14">E78*F78</f>
        <v>0</v>
      </c>
      <c r="H78" s="56"/>
    </row>
    <row r="79" spans="1:10" s="17" customFormat="1" ht="26.4">
      <c r="A79" s="50">
        <f t="shared" si="12"/>
        <v>61</v>
      </c>
      <c r="B79" s="98" t="s">
        <v>94</v>
      </c>
      <c r="C79" s="98" t="s">
        <v>131</v>
      </c>
      <c r="D79" s="99" t="s">
        <v>24</v>
      </c>
      <c r="E79" s="73">
        <f>E78</f>
        <v>3.3371999999999997</v>
      </c>
      <c r="F79" s="172"/>
      <c r="G79" s="55"/>
      <c r="H79" s="56">
        <f t="shared" si="13"/>
        <v>0</v>
      </c>
    </row>
    <row r="80" spans="1:10" s="17" customFormat="1" ht="26.4">
      <c r="A80" s="50">
        <f t="shared" si="12"/>
        <v>62</v>
      </c>
      <c r="B80" s="98" t="s">
        <v>96</v>
      </c>
      <c r="C80" s="98" t="s">
        <v>120</v>
      </c>
      <c r="D80" s="99" t="s">
        <v>24</v>
      </c>
      <c r="E80" s="73">
        <f>E79</f>
        <v>3.3371999999999997</v>
      </c>
      <c r="F80" s="172"/>
      <c r="G80" s="55"/>
      <c r="H80" s="56">
        <f t="shared" si="13"/>
        <v>0</v>
      </c>
    </row>
    <row r="81" spans="1:8" s="17" customFormat="1" ht="26.4">
      <c r="A81" s="50">
        <f t="shared" si="12"/>
        <v>63</v>
      </c>
      <c r="B81" s="51" t="s">
        <v>132</v>
      </c>
      <c r="C81" s="52" t="s">
        <v>133</v>
      </c>
      <c r="D81" s="53" t="s">
        <v>22</v>
      </c>
      <c r="E81" s="73">
        <f>E73</f>
        <v>12</v>
      </c>
      <c r="F81" s="168"/>
      <c r="G81" s="55"/>
      <c r="H81" s="56">
        <f>E81*F81</f>
        <v>0</v>
      </c>
    </row>
    <row r="82" spans="1:8" s="17" customFormat="1" ht="39.6">
      <c r="A82" s="50">
        <f t="shared" si="12"/>
        <v>64</v>
      </c>
      <c r="B82" s="51" t="s">
        <v>23</v>
      </c>
      <c r="C82" s="52" t="s">
        <v>178</v>
      </c>
      <c r="D82" s="53" t="s">
        <v>22</v>
      </c>
      <c r="E82" s="73">
        <v>12</v>
      </c>
      <c r="F82" s="168"/>
      <c r="G82" s="55">
        <f>E82*F82</f>
        <v>0</v>
      </c>
      <c r="H82" s="56"/>
    </row>
    <row r="83" spans="1:8" s="17" customFormat="1" ht="26.4">
      <c r="A83" s="50">
        <f t="shared" si="12"/>
        <v>65</v>
      </c>
      <c r="B83" s="123" t="s">
        <v>28</v>
      </c>
      <c r="C83" s="123" t="s">
        <v>138</v>
      </c>
      <c r="D83" s="124" t="s">
        <v>80</v>
      </c>
      <c r="E83" s="73">
        <f>E73*1*1*0.6</f>
        <v>7.1999999999999993</v>
      </c>
      <c r="F83" s="125"/>
      <c r="G83" s="55"/>
      <c r="H83" s="56">
        <f t="shared" si="13"/>
        <v>0</v>
      </c>
    </row>
    <row r="84" spans="1:8" s="17" customFormat="1">
      <c r="A84" s="50">
        <f t="shared" si="12"/>
        <v>66</v>
      </c>
      <c r="B84" s="123" t="s">
        <v>141</v>
      </c>
      <c r="C84" s="123" t="s">
        <v>139</v>
      </c>
      <c r="D84" s="124" t="s">
        <v>24</v>
      </c>
      <c r="E84" s="73">
        <f>E83*0.4*1.4*1.03</f>
        <v>4.1529600000000002</v>
      </c>
      <c r="F84" s="125"/>
      <c r="G84" s="55">
        <f t="shared" si="14"/>
        <v>0</v>
      </c>
      <c r="H84" s="56"/>
    </row>
    <row r="85" spans="1:8" s="17" customFormat="1">
      <c r="A85" s="50">
        <f t="shared" si="12"/>
        <v>67</v>
      </c>
      <c r="B85" s="123" t="s">
        <v>23</v>
      </c>
      <c r="C85" s="123" t="s">
        <v>140</v>
      </c>
      <c r="D85" s="124" t="s">
        <v>24</v>
      </c>
      <c r="E85" s="73">
        <f>E83*0.4*1.8*1.03</f>
        <v>5.3395200000000003</v>
      </c>
      <c r="F85" s="125"/>
      <c r="G85" s="55">
        <f t="shared" si="14"/>
        <v>0</v>
      </c>
      <c r="H85" s="56"/>
    </row>
    <row r="86" spans="1:8" s="17" customFormat="1">
      <c r="A86" s="50">
        <f t="shared" si="12"/>
        <v>68</v>
      </c>
      <c r="B86" s="123" t="s">
        <v>23</v>
      </c>
      <c r="C86" s="123" t="s">
        <v>136</v>
      </c>
      <c r="D86" s="124" t="s">
        <v>24</v>
      </c>
      <c r="E86" s="73">
        <f>E85*0.2*1.8*1.03</f>
        <v>1.9798940160000005</v>
      </c>
      <c r="F86" s="125"/>
      <c r="G86" s="55">
        <f t="shared" si="14"/>
        <v>0</v>
      </c>
      <c r="H86" s="56"/>
    </row>
    <row r="87" spans="1:8" s="17" customFormat="1" ht="26.4">
      <c r="A87" s="50">
        <f t="shared" si="12"/>
        <v>69</v>
      </c>
      <c r="B87" s="123" t="s">
        <v>28</v>
      </c>
      <c r="C87" s="123" t="s">
        <v>137</v>
      </c>
      <c r="D87" s="124" t="s">
        <v>80</v>
      </c>
      <c r="E87" s="73">
        <f>E73*1*1*0.3</f>
        <v>3.5999999999999996</v>
      </c>
      <c r="F87" s="125"/>
      <c r="G87" s="55"/>
      <c r="H87" s="56">
        <f t="shared" si="13"/>
        <v>0</v>
      </c>
    </row>
    <row r="88" spans="1:8" s="17" customFormat="1">
      <c r="A88" s="50">
        <f t="shared" si="12"/>
        <v>70</v>
      </c>
      <c r="B88" s="123" t="s">
        <v>23</v>
      </c>
      <c r="C88" s="123" t="s">
        <v>142</v>
      </c>
      <c r="D88" s="124" t="s">
        <v>24</v>
      </c>
      <c r="E88" s="73">
        <f>E87*0.4*1.4*1.03</f>
        <v>2.0764800000000001</v>
      </c>
      <c r="F88" s="125"/>
      <c r="G88" s="55">
        <f t="shared" si="14"/>
        <v>0</v>
      </c>
      <c r="H88" s="56"/>
    </row>
    <row r="89" spans="1:8" s="17" customFormat="1">
      <c r="A89" s="50">
        <f t="shared" si="12"/>
        <v>71</v>
      </c>
      <c r="B89" s="123" t="s">
        <v>23</v>
      </c>
      <c r="C89" s="123" t="s">
        <v>140</v>
      </c>
      <c r="D89" s="124" t="s">
        <v>24</v>
      </c>
      <c r="E89" s="73">
        <f>E87*0.4*1.8*1.03</f>
        <v>2.6697600000000001</v>
      </c>
      <c r="F89" s="125"/>
      <c r="G89" s="55">
        <f t="shared" si="14"/>
        <v>0</v>
      </c>
      <c r="H89" s="56"/>
    </row>
    <row r="90" spans="1:8" s="17" customFormat="1">
      <c r="A90" s="50">
        <f t="shared" si="12"/>
        <v>72</v>
      </c>
      <c r="B90" s="123" t="s">
        <v>23</v>
      </c>
      <c r="C90" s="123" t="s">
        <v>136</v>
      </c>
      <c r="D90" s="124" t="s">
        <v>24</v>
      </c>
      <c r="E90" s="73">
        <f>E87*0.2*1.8*1.03</f>
        <v>1.3348800000000001</v>
      </c>
      <c r="F90" s="125"/>
      <c r="G90" s="55">
        <f t="shared" si="14"/>
        <v>0</v>
      </c>
      <c r="H90" s="56"/>
    </row>
    <row r="91" spans="1:8" s="17" customFormat="1" ht="26.4">
      <c r="A91" s="50">
        <f t="shared" si="12"/>
        <v>73</v>
      </c>
      <c r="B91" s="98" t="s">
        <v>94</v>
      </c>
      <c r="C91" s="98" t="s">
        <v>131</v>
      </c>
      <c r="D91" s="99" t="s">
        <v>24</v>
      </c>
      <c r="E91" s="73">
        <f>E84+E85+E86+E88+E89+E90</f>
        <v>17.553494016000002</v>
      </c>
      <c r="F91" s="172"/>
      <c r="G91" s="55"/>
      <c r="H91" s="56">
        <f>E91*F91</f>
        <v>0</v>
      </c>
    </row>
    <row r="92" spans="1:8" s="17" customFormat="1" ht="26.4">
      <c r="A92" s="50">
        <f t="shared" si="12"/>
        <v>74</v>
      </c>
      <c r="B92" s="98" t="s">
        <v>96</v>
      </c>
      <c r="C92" s="98" t="s">
        <v>120</v>
      </c>
      <c r="D92" s="99" t="s">
        <v>24</v>
      </c>
      <c r="E92" s="73">
        <f>E91</f>
        <v>17.553494016000002</v>
      </c>
      <c r="F92" s="172"/>
      <c r="G92" s="55"/>
      <c r="H92" s="56">
        <f t="shared" ref="H92:H93" si="15">E92*F92</f>
        <v>0</v>
      </c>
    </row>
    <row r="93" spans="1:8" s="17" customFormat="1">
      <c r="A93" s="50">
        <f t="shared" si="12"/>
        <v>75</v>
      </c>
      <c r="B93" s="126" t="s">
        <v>28</v>
      </c>
      <c r="C93" s="126" t="s">
        <v>143</v>
      </c>
      <c r="D93" s="127" t="s">
        <v>134</v>
      </c>
      <c r="E93" s="73">
        <f>E73*5</f>
        <v>60</v>
      </c>
      <c r="F93" s="174"/>
      <c r="G93" s="55"/>
      <c r="H93" s="56">
        <f t="shared" si="15"/>
        <v>0</v>
      </c>
    </row>
    <row r="94" spans="1:8" s="17" customFormat="1">
      <c r="A94" s="50">
        <f t="shared" si="12"/>
        <v>76</v>
      </c>
      <c r="B94" s="126" t="s">
        <v>23</v>
      </c>
      <c r="C94" s="126" t="s">
        <v>144</v>
      </c>
      <c r="D94" s="127" t="s">
        <v>134</v>
      </c>
      <c r="E94" s="73">
        <f>E93</f>
        <v>60</v>
      </c>
      <c r="F94" s="174"/>
      <c r="G94" s="55">
        <f t="shared" ref="G94:G96" si="16">E94*F94</f>
        <v>0</v>
      </c>
      <c r="H94" s="56"/>
    </row>
    <row r="95" spans="1:8" s="17" customFormat="1" ht="26.4">
      <c r="A95" s="50">
        <f t="shared" si="12"/>
        <v>77</v>
      </c>
      <c r="B95" s="98" t="s">
        <v>28</v>
      </c>
      <c r="C95" s="98" t="s">
        <v>145</v>
      </c>
      <c r="D95" s="99" t="s">
        <v>135</v>
      </c>
      <c r="E95" s="73">
        <f>E73</f>
        <v>12</v>
      </c>
      <c r="F95" s="172"/>
      <c r="G95" s="55"/>
      <c r="H95" s="56">
        <f>E95*F95</f>
        <v>0</v>
      </c>
    </row>
    <row r="96" spans="1:8" s="17" customFormat="1">
      <c r="A96" s="50">
        <f t="shared" si="12"/>
        <v>78</v>
      </c>
      <c r="B96" s="98" t="s">
        <v>23</v>
      </c>
      <c r="C96" s="98" t="s">
        <v>146</v>
      </c>
      <c r="D96" s="99" t="s">
        <v>135</v>
      </c>
      <c r="E96" s="73">
        <f>E73</f>
        <v>12</v>
      </c>
      <c r="F96" s="172"/>
      <c r="G96" s="55">
        <f t="shared" si="16"/>
        <v>0</v>
      </c>
      <c r="H96" s="56"/>
    </row>
    <row r="97" spans="1:10" s="17" customFormat="1" ht="26.4">
      <c r="A97" s="50">
        <f t="shared" si="12"/>
        <v>79</v>
      </c>
      <c r="B97" s="110" t="s">
        <v>43</v>
      </c>
      <c r="C97" s="110" t="s">
        <v>112</v>
      </c>
      <c r="D97" s="53" t="s">
        <v>24</v>
      </c>
      <c r="E97" s="73">
        <f>E73*12*10/10000</f>
        <v>0.14399999999999999</v>
      </c>
      <c r="F97" s="168"/>
      <c r="G97" s="59"/>
      <c r="H97" s="56">
        <f t="shared" ref="H97" si="17">E97*F97</f>
        <v>0</v>
      </c>
    </row>
    <row r="98" spans="1:10" s="17" customFormat="1" ht="26.4">
      <c r="A98" s="50">
        <f t="shared" si="12"/>
        <v>80</v>
      </c>
      <c r="B98" s="110" t="s">
        <v>113</v>
      </c>
      <c r="C98" s="110" t="s">
        <v>114</v>
      </c>
      <c r="D98" s="111" t="s">
        <v>46</v>
      </c>
      <c r="E98" s="73">
        <f>E73*12*10/1000</f>
        <v>1.44</v>
      </c>
      <c r="F98" s="168"/>
      <c r="G98" s="59">
        <f t="shared" ref="G98" si="18">E98*F98</f>
        <v>0</v>
      </c>
      <c r="H98" s="56"/>
    </row>
    <row r="99" spans="1:10" s="17" customFormat="1" ht="39.6">
      <c r="A99" s="50">
        <f t="shared" si="12"/>
        <v>81</v>
      </c>
      <c r="B99" s="51" t="s">
        <v>117</v>
      </c>
      <c r="C99" s="70" t="s">
        <v>149</v>
      </c>
      <c r="D99" s="53" t="s">
        <v>22</v>
      </c>
      <c r="E99" s="73">
        <f>E73</f>
        <v>12</v>
      </c>
      <c r="F99" s="168"/>
      <c r="G99" s="59"/>
      <c r="H99" s="56">
        <f>E99*F99</f>
        <v>0</v>
      </c>
    </row>
    <row r="100" spans="1:10" s="17" customFormat="1" ht="26.4">
      <c r="A100" s="50">
        <f t="shared" si="12"/>
        <v>82</v>
      </c>
      <c r="B100" s="51" t="s">
        <v>23</v>
      </c>
      <c r="C100" s="52" t="s">
        <v>148</v>
      </c>
      <c r="D100" s="53" t="s">
        <v>22</v>
      </c>
      <c r="E100" s="73">
        <f>E73*3</f>
        <v>36</v>
      </c>
      <c r="F100" s="168"/>
      <c r="G100" s="59">
        <f>E100*F100</f>
        <v>0</v>
      </c>
      <c r="H100" s="56"/>
    </row>
    <row r="101" spans="1:10" s="17" customFormat="1" ht="39.6">
      <c r="A101" s="50">
        <f t="shared" si="12"/>
        <v>83</v>
      </c>
      <c r="B101" s="51" t="s">
        <v>23</v>
      </c>
      <c r="C101" s="52" t="s">
        <v>127</v>
      </c>
      <c r="D101" s="53" t="s">
        <v>22</v>
      </c>
      <c r="E101" s="73">
        <f>E73*12</f>
        <v>144</v>
      </c>
      <c r="F101" s="168"/>
      <c r="G101" s="59">
        <f>E101*F101</f>
        <v>0</v>
      </c>
      <c r="H101" s="56"/>
    </row>
    <row r="102" spans="1:10" s="17" customFormat="1">
      <c r="A102" s="50">
        <f t="shared" si="12"/>
        <v>84</v>
      </c>
      <c r="B102" s="51" t="s">
        <v>60</v>
      </c>
      <c r="C102" s="52" t="s">
        <v>61</v>
      </c>
      <c r="D102" s="53" t="s">
        <v>22</v>
      </c>
      <c r="E102" s="73">
        <f>E73</f>
        <v>12</v>
      </c>
      <c r="F102" s="168"/>
      <c r="G102" s="59"/>
      <c r="H102" s="56">
        <f>E102*F102</f>
        <v>0</v>
      </c>
    </row>
    <row r="103" spans="1:10" s="17" customFormat="1">
      <c r="A103" s="50">
        <f t="shared" si="12"/>
        <v>85</v>
      </c>
      <c r="B103" s="51" t="s">
        <v>23</v>
      </c>
      <c r="C103" s="52" t="s">
        <v>147</v>
      </c>
      <c r="D103" s="58" t="s">
        <v>22</v>
      </c>
      <c r="E103" s="73">
        <f>E73</f>
        <v>12</v>
      </c>
      <c r="F103" s="171"/>
      <c r="G103" s="59">
        <f>E103*F103</f>
        <v>0</v>
      </c>
      <c r="H103" s="56"/>
    </row>
    <row r="104" spans="1:10" s="17" customFormat="1" ht="39.6">
      <c r="A104" s="50">
        <f t="shared" si="12"/>
        <v>86</v>
      </c>
      <c r="B104" s="51" t="s">
        <v>118</v>
      </c>
      <c r="C104" s="52" t="s">
        <v>150</v>
      </c>
      <c r="D104" s="53" t="s">
        <v>22</v>
      </c>
      <c r="E104" s="73">
        <f>E73</f>
        <v>12</v>
      </c>
      <c r="F104" s="168"/>
      <c r="G104" s="59"/>
      <c r="H104" s="56">
        <f>E104*F104</f>
        <v>0</v>
      </c>
    </row>
    <row r="105" spans="1:10" s="17" customFormat="1" ht="15.6">
      <c r="A105" s="50">
        <f t="shared" si="12"/>
        <v>87</v>
      </c>
      <c r="B105" s="51" t="s">
        <v>38</v>
      </c>
      <c r="C105" s="52" t="s">
        <v>39</v>
      </c>
      <c r="D105" s="58" t="s">
        <v>80</v>
      </c>
      <c r="E105" s="115">
        <f>E107</f>
        <v>0.24</v>
      </c>
      <c r="F105" s="171"/>
      <c r="G105" s="59"/>
      <c r="H105" s="56">
        <f t="shared" ref="H105:H106" si="19">E105*F105</f>
        <v>0</v>
      </c>
    </row>
    <row r="106" spans="1:10" s="17" customFormat="1" ht="28.8">
      <c r="A106" s="50">
        <f t="shared" si="12"/>
        <v>88</v>
      </c>
      <c r="B106" s="51" t="s">
        <v>40</v>
      </c>
      <c r="C106" s="52" t="s">
        <v>82</v>
      </c>
      <c r="D106" s="58" t="s">
        <v>80</v>
      </c>
      <c r="E106" s="115">
        <f>E107</f>
        <v>0.24</v>
      </c>
      <c r="F106" s="171"/>
      <c r="G106" s="59"/>
      <c r="H106" s="56">
        <f t="shared" si="19"/>
        <v>0</v>
      </c>
    </row>
    <row r="107" spans="1:10" s="17" customFormat="1" ht="15.6">
      <c r="A107" s="50">
        <f t="shared" si="12"/>
        <v>89</v>
      </c>
      <c r="B107" s="51" t="s">
        <v>23</v>
      </c>
      <c r="C107" s="52" t="s">
        <v>116</v>
      </c>
      <c r="D107" s="58" t="s">
        <v>80</v>
      </c>
      <c r="E107" s="115">
        <f>E73*20/1000</f>
        <v>0.24</v>
      </c>
      <c r="F107" s="171"/>
      <c r="G107" s="55">
        <f>E107*F107</f>
        <v>0</v>
      </c>
      <c r="H107" s="56"/>
    </row>
    <row r="108" spans="1:10" s="17" customFormat="1" ht="13.8" thickBot="1">
      <c r="A108" s="60">
        <f>A107+1</f>
        <v>90</v>
      </c>
      <c r="B108" s="61" t="s">
        <v>48</v>
      </c>
      <c r="C108" s="62" t="s">
        <v>115</v>
      </c>
      <c r="D108" s="78" t="s">
        <v>22</v>
      </c>
      <c r="E108" s="120">
        <f>E73</f>
        <v>12</v>
      </c>
      <c r="F108" s="173"/>
      <c r="G108" s="63"/>
      <c r="H108" s="79">
        <f>E108*F108</f>
        <v>0</v>
      </c>
      <c r="J108" s="5">
        <f>SUM(G73:H108)</f>
        <v>0</v>
      </c>
    </row>
    <row r="109" spans="1:10" s="17" customFormat="1" ht="15" customHeight="1" thickBot="1">
      <c r="A109" s="106"/>
      <c r="B109" s="130" t="s">
        <v>21</v>
      </c>
      <c r="C109" s="131" t="s">
        <v>153</v>
      </c>
      <c r="D109" s="107"/>
      <c r="E109" s="107"/>
      <c r="F109" s="170"/>
      <c r="G109" s="108"/>
      <c r="H109" s="109"/>
    </row>
    <row r="110" spans="1:10" s="17" customFormat="1" ht="42">
      <c r="A110" s="44">
        <f>A108+1</f>
        <v>91</v>
      </c>
      <c r="B110" s="45" t="s">
        <v>110</v>
      </c>
      <c r="C110" s="46" t="s">
        <v>155</v>
      </c>
      <c r="D110" s="47" t="s">
        <v>22</v>
      </c>
      <c r="E110" s="112">
        <v>1</v>
      </c>
      <c r="F110" s="138"/>
      <c r="G110" s="66"/>
      <c r="H110" s="67">
        <f>E110*F110</f>
        <v>0</v>
      </c>
    </row>
    <row r="111" spans="1:10" s="17" customFormat="1" ht="15.6">
      <c r="A111" s="50">
        <f>A110+1</f>
        <v>92</v>
      </c>
      <c r="B111" s="51" t="s">
        <v>38</v>
      </c>
      <c r="C111" s="52" t="s">
        <v>39</v>
      </c>
      <c r="D111" s="58" t="s">
        <v>80</v>
      </c>
      <c r="E111" s="115">
        <f>E113</f>
        <v>0.05</v>
      </c>
      <c r="F111" s="171"/>
      <c r="G111" s="55"/>
      <c r="H111" s="56">
        <f>E111*F111</f>
        <v>0</v>
      </c>
    </row>
    <row r="112" spans="1:10" s="17" customFormat="1" ht="15.6">
      <c r="A112" s="50">
        <f t="shared" ref="A112:A130" si="20">A111+1</f>
        <v>93</v>
      </c>
      <c r="B112" s="51" t="s">
        <v>40</v>
      </c>
      <c r="C112" s="52" t="s">
        <v>81</v>
      </c>
      <c r="D112" s="58" t="s">
        <v>80</v>
      </c>
      <c r="E112" s="115">
        <f>E113</f>
        <v>0.05</v>
      </c>
      <c r="F112" s="171"/>
      <c r="G112" s="55"/>
      <c r="H112" s="56">
        <f>E112*F112</f>
        <v>0</v>
      </c>
    </row>
    <row r="113" spans="1:8" s="17" customFormat="1" ht="15.6">
      <c r="A113" s="50">
        <f t="shared" si="20"/>
        <v>94</v>
      </c>
      <c r="B113" s="51" t="s">
        <v>23</v>
      </c>
      <c r="C113" s="52" t="s">
        <v>41</v>
      </c>
      <c r="D113" s="58" t="s">
        <v>80</v>
      </c>
      <c r="E113" s="115">
        <f>E110*50/1000</f>
        <v>0.05</v>
      </c>
      <c r="F113" s="171"/>
      <c r="G113" s="55">
        <f>E113*F113</f>
        <v>0</v>
      </c>
      <c r="H113" s="56"/>
    </row>
    <row r="114" spans="1:8" s="17" customFormat="1" ht="15.6">
      <c r="A114" s="50">
        <f t="shared" si="20"/>
        <v>95</v>
      </c>
      <c r="B114" s="110" t="s">
        <v>23</v>
      </c>
      <c r="C114" s="110" t="s">
        <v>119</v>
      </c>
      <c r="D114" s="111" t="s">
        <v>80</v>
      </c>
      <c r="E114" s="115">
        <f>E110*1*1.03</f>
        <v>1.03</v>
      </c>
      <c r="F114" s="171"/>
      <c r="G114" s="55">
        <f>E114*F114</f>
        <v>0</v>
      </c>
      <c r="H114" s="56"/>
    </row>
    <row r="115" spans="1:8" s="17" customFormat="1" ht="26.4">
      <c r="A115" s="50">
        <f t="shared" si="20"/>
        <v>96</v>
      </c>
      <c r="B115" s="51" t="s">
        <v>132</v>
      </c>
      <c r="C115" s="52" t="s">
        <v>156</v>
      </c>
      <c r="D115" s="53" t="s">
        <v>22</v>
      </c>
      <c r="E115" s="73">
        <f>E110</f>
        <v>1</v>
      </c>
      <c r="F115" s="168"/>
      <c r="G115" s="59"/>
      <c r="H115" s="56">
        <f>E115*F115</f>
        <v>0</v>
      </c>
    </row>
    <row r="116" spans="1:8" s="17" customFormat="1" ht="26.4">
      <c r="A116" s="50">
        <f t="shared" si="20"/>
        <v>97</v>
      </c>
      <c r="B116" s="51" t="s">
        <v>23</v>
      </c>
      <c r="C116" s="52" t="s">
        <v>177</v>
      </c>
      <c r="D116" s="53" t="s">
        <v>22</v>
      </c>
      <c r="E116" s="73">
        <v>1</v>
      </c>
      <c r="F116" s="168"/>
      <c r="G116" s="59">
        <f>E116*F116</f>
        <v>0</v>
      </c>
      <c r="H116" s="56"/>
    </row>
    <row r="117" spans="1:8" s="17" customFormat="1" ht="26.4">
      <c r="A117" s="50">
        <f t="shared" si="20"/>
        <v>98</v>
      </c>
      <c r="B117" s="110" t="s">
        <v>43</v>
      </c>
      <c r="C117" s="110" t="s">
        <v>112</v>
      </c>
      <c r="D117" s="53" t="s">
        <v>24</v>
      </c>
      <c r="E117" s="73">
        <f>E110*12*10/10000</f>
        <v>1.2E-2</v>
      </c>
      <c r="F117" s="168"/>
      <c r="G117" s="59"/>
      <c r="H117" s="56">
        <f t="shared" ref="H117" si="21">E117*F117</f>
        <v>0</v>
      </c>
    </row>
    <row r="118" spans="1:8" s="17" customFormat="1" ht="26.4">
      <c r="A118" s="50">
        <f t="shared" si="20"/>
        <v>99</v>
      </c>
      <c r="B118" s="110" t="s">
        <v>113</v>
      </c>
      <c r="C118" s="110" t="s">
        <v>114</v>
      </c>
      <c r="D118" s="111" t="s">
        <v>46</v>
      </c>
      <c r="E118" s="73">
        <f>E110*12*10/1000</f>
        <v>0.12</v>
      </c>
      <c r="F118" s="168"/>
      <c r="G118" s="59">
        <f t="shared" ref="G118" si="22">E118*F118</f>
        <v>0</v>
      </c>
      <c r="H118" s="56"/>
    </row>
    <row r="119" spans="1:8" s="17" customFormat="1" ht="39.6">
      <c r="A119" s="50">
        <f t="shared" si="20"/>
        <v>100</v>
      </c>
      <c r="B119" s="69" t="s">
        <v>158</v>
      </c>
      <c r="C119" s="70" t="s">
        <v>157</v>
      </c>
      <c r="D119" s="53" t="s">
        <v>22</v>
      </c>
      <c r="E119" s="73">
        <f>E110</f>
        <v>1</v>
      </c>
      <c r="F119" s="168"/>
      <c r="G119" s="71"/>
      <c r="H119" s="56">
        <f>E119*F119</f>
        <v>0</v>
      </c>
    </row>
    <row r="120" spans="1:8" s="17" customFormat="1" ht="26.4">
      <c r="A120" s="50">
        <f t="shared" si="20"/>
        <v>101</v>
      </c>
      <c r="B120" s="69" t="s">
        <v>23</v>
      </c>
      <c r="C120" s="52" t="s">
        <v>176</v>
      </c>
      <c r="D120" s="53" t="s">
        <v>22</v>
      </c>
      <c r="E120" s="73">
        <f>E110*2</f>
        <v>2</v>
      </c>
      <c r="F120" s="168"/>
      <c r="G120" s="71">
        <f>E120*F120</f>
        <v>0</v>
      </c>
      <c r="H120" s="56"/>
    </row>
    <row r="121" spans="1:8" s="17" customFormat="1" ht="39.6">
      <c r="A121" s="50">
        <f t="shared" si="20"/>
        <v>102</v>
      </c>
      <c r="B121" s="51" t="s">
        <v>118</v>
      </c>
      <c r="C121" s="52" t="s">
        <v>150</v>
      </c>
      <c r="D121" s="53" t="s">
        <v>22</v>
      </c>
      <c r="E121" s="73">
        <f>E110</f>
        <v>1</v>
      </c>
      <c r="F121" s="168"/>
      <c r="G121" s="59"/>
      <c r="H121" s="56">
        <f>E121*F121</f>
        <v>0</v>
      </c>
    </row>
    <row r="122" spans="1:8" s="17" customFormat="1" ht="15.6">
      <c r="A122" s="50">
        <f t="shared" si="20"/>
        <v>103</v>
      </c>
      <c r="B122" s="51" t="s">
        <v>38</v>
      </c>
      <c r="C122" s="52" t="s">
        <v>39</v>
      </c>
      <c r="D122" s="58" t="s">
        <v>80</v>
      </c>
      <c r="E122" s="115">
        <f>E124</f>
        <v>0.02</v>
      </c>
      <c r="F122" s="171"/>
      <c r="G122" s="59"/>
      <c r="H122" s="56">
        <f t="shared" ref="H122:H123" si="23">E122*F122</f>
        <v>0</v>
      </c>
    </row>
    <row r="123" spans="1:8" s="17" customFormat="1" ht="28.8">
      <c r="A123" s="50">
        <f t="shared" si="20"/>
        <v>104</v>
      </c>
      <c r="B123" s="51" t="s">
        <v>40</v>
      </c>
      <c r="C123" s="52" t="s">
        <v>82</v>
      </c>
      <c r="D123" s="58" t="s">
        <v>80</v>
      </c>
      <c r="E123" s="115">
        <f>E124</f>
        <v>0.02</v>
      </c>
      <c r="F123" s="171"/>
      <c r="G123" s="59"/>
      <c r="H123" s="56">
        <f t="shared" si="23"/>
        <v>0</v>
      </c>
    </row>
    <row r="124" spans="1:8" s="17" customFormat="1" ht="15.6">
      <c r="A124" s="50">
        <f t="shared" si="20"/>
        <v>105</v>
      </c>
      <c r="B124" s="51" t="s">
        <v>23</v>
      </c>
      <c r="C124" s="52" t="s">
        <v>116</v>
      </c>
      <c r="D124" s="58" t="s">
        <v>80</v>
      </c>
      <c r="E124" s="115">
        <f>E110*20/1000</f>
        <v>0.02</v>
      </c>
      <c r="F124" s="171"/>
      <c r="G124" s="55">
        <f>E124*F124</f>
        <v>0</v>
      </c>
      <c r="H124" s="56"/>
    </row>
    <row r="125" spans="1:8" s="17" customFormat="1" ht="26.4">
      <c r="A125" s="50">
        <f t="shared" si="20"/>
        <v>106</v>
      </c>
      <c r="B125" s="110" t="s">
        <v>121</v>
      </c>
      <c r="C125" s="110" t="s">
        <v>183</v>
      </c>
      <c r="D125" s="111" t="s">
        <v>79</v>
      </c>
      <c r="E125" s="115">
        <f>E110*3.14*0.375*0.375</f>
        <v>0.44156249999999997</v>
      </c>
      <c r="F125" s="122"/>
      <c r="G125" s="55"/>
      <c r="H125" s="56">
        <f t="shared" ref="H125" si="24">E125*F125</f>
        <v>0</v>
      </c>
    </row>
    <row r="126" spans="1:8" s="17" customFormat="1" ht="15.6">
      <c r="A126" s="50">
        <f t="shared" si="20"/>
        <v>107</v>
      </c>
      <c r="B126" s="110" t="s">
        <v>23</v>
      </c>
      <c r="C126" s="110" t="s">
        <v>123</v>
      </c>
      <c r="D126" s="111" t="s">
        <v>80</v>
      </c>
      <c r="E126" s="115">
        <f>E125*0.1*1.03</f>
        <v>4.5480937499999999E-2</v>
      </c>
      <c r="F126" s="122"/>
      <c r="G126" s="55">
        <f t="shared" ref="G126" si="25">E126*F126</f>
        <v>0</v>
      </c>
      <c r="H126" s="56"/>
    </row>
    <row r="127" spans="1:8" s="17" customFormat="1" ht="26.4">
      <c r="A127" s="50">
        <f t="shared" si="20"/>
        <v>108</v>
      </c>
      <c r="B127" s="98" t="s">
        <v>94</v>
      </c>
      <c r="C127" s="98" t="s">
        <v>122</v>
      </c>
      <c r="D127" s="99" t="s">
        <v>24</v>
      </c>
      <c r="E127" s="115">
        <f>E126*0.3</f>
        <v>1.3644281249999999E-2</v>
      </c>
      <c r="F127" s="172"/>
      <c r="G127" s="55"/>
      <c r="H127" s="56">
        <f t="shared" ref="H127:H129" si="26">E127*F127</f>
        <v>0</v>
      </c>
    </row>
    <row r="128" spans="1:8" s="17" customFormat="1" ht="26.4">
      <c r="A128" s="50">
        <f t="shared" si="20"/>
        <v>109</v>
      </c>
      <c r="B128" s="98" t="s">
        <v>96</v>
      </c>
      <c r="C128" s="98" t="s">
        <v>120</v>
      </c>
      <c r="D128" s="99" t="s">
        <v>24</v>
      </c>
      <c r="E128" s="115">
        <f>E126*0.3</f>
        <v>1.3644281249999999E-2</v>
      </c>
      <c r="F128" s="172"/>
      <c r="G128" s="55"/>
      <c r="H128" s="56">
        <f t="shared" si="26"/>
        <v>0</v>
      </c>
    </row>
    <row r="129" spans="1:10" s="17" customFormat="1" ht="26.4">
      <c r="A129" s="50">
        <f t="shared" si="20"/>
        <v>110</v>
      </c>
      <c r="B129" s="98" t="s">
        <v>28</v>
      </c>
      <c r="C129" s="98" t="s">
        <v>171</v>
      </c>
      <c r="D129" s="99" t="s">
        <v>22</v>
      </c>
      <c r="E129" s="115">
        <v>1</v>
      </c>
      <c r="F129" s="172"/>
      <c r="G129" s="55"/>
      <c r="H129" s="56">
        <f t="shared" si="26"/>
        <v>0</v>
      </c>
    </row>
    <row r="130" spans="1:10" s="17" customFormat="1">
      <c r="A130" s="50">
        <f t="shared" si="20"/>
        <v>111</v>
      </c>
      <c r="B130" s="98" t="s">
        <v>23</v>
      </c>
      <c r="C130" s="98" t="s">
        <v>159</v>
      </c>
      <c r="D130" s="99" t="s">
        <v>22</v>
      </c>
      <c r="E130" s="115">
        <v>1</v>
      </c>
      <c r="F130" s="172"/>
      <c r="G130" s="55">
        <f>E130*F130</f>
        <v>0</v>
      </c>
      <c r="H130" s="56"/>
    </row>
    <row r="131" spans="1:10" s="17" customFormat="1" ht="13.8" thickBot="1">
      <c r="A131" s="68">
        <f>A130+1</f>
        <v>112</v>
      </c>
      <c r="B131" s="51" t="s">
        <v>48</v>
      </c>
      <c r="C131" s="52" t="s">
        <v>115</v>
      </c>
      <c r="D131" s="53" t="s">
        <v>22</v>
      </c>
      <c r="E131" s="73">
        <f>E110</f>
        <v>1</v>
      </c>
      <c r="F131" s="168"/>
      <c r="G131" s="59"/>
      <c r="H131" s="56">
        <f>E131*F131</f>
        <v>0</v>
      </c>
      <c r="J131" s="5">
        <f>SUM(G110:H131)</f>
        <v>0</v>
      </c>
    </row>
    <row r="132" spans="1:10" s="17" customFormat="1" ht="15" customHeight="1" thickBot="1">
      <c r="A132" s="36"/>
      <c r="B132" s="132" t="s">
        <v>21</v>
      </c>
      <c r="C132" s="133" t="s">
        <v>124</v>
      </c>
      <c r="D132" s="39"/>
      <c r="E132" s="39"/>
      <c r="F132" s="167"/>
      <c r="G132" s="40"/>
      <c r="H132" s="41"/>
    </row>
    <row r="133" spans="1:10" s="17" customFormat="1" ht="28.8">
      <c r="A133" s="134">
        <f>A131+1</f>
        <v>113</v>
      </c>
      <c r="B133" s="136" t="s">
        <v>35</v>
      </c>
      <c r="C133" s="136" t="s">
        <v>166</v>
      </c>
      <c r="D133" s="137" t="s">
        <v>79</v>
      </c>
      <c r="E133" s="139">
        <f>2*(12+8+8+20+40+9+12+6)*1.05</f>
        <v>241.5</v>
      </c>
      <c r="F133" s="138"/>
      <c r="G133" s="48"/>
      <c r="H133" s="49">
        <f>E133*F133</f>
        <v>0</v>
      </c>
    </row>
    <row r="134" spans="1:10" s="17" customFormat="1" ht="15" customHeight="1">
      <c r="A134" s="135">
        <f>A133+1</f>
        <v>114</v>
      </c>
      <c r="B134" s="110" t="s">
        <v>23</v>
      </c>
      <c r="C134" s="110" t="s">
        <v>164</v>
      </c>
      <c r="D134" s="111" t="s">
        <v>162</v>
      </c>
      <c r="E134" s="140">
        <f>E133*5/10000*1.03</f>
        <v>0.1243725</v>
      </c>
      <c r="F134" s="122"/>
      <c r="G134" s="54">
        <f>E134*F134</f>
        <v>0</v>
      </c>
      <c r="H134" s="56"/>
    </row>
    <row r="135" spans="1:10" s="17" customFormat="1" ht="26.4">
      <c r="A135" s="135">
        <f t="shared" ref="A135:A152" si="27">A134+1</f>
        <v>115</v>
      </c>
      <c r="B135" s="110" t="s">
        <v>163</v>
      </c>
      <c r="C135" s="110" t="s">
        <v>184</v>
      </c>
      <c r="D135" s="111" t="s">
        <v>79</v>
      </c>
      <c r="E135" s="140">
        <f>(12+8+8+20+40+9+12+6)*1.05</f>
        <v>120.75</v>
      </c>
      <c r="F135" s="122"/>
      <c r="G135" s="54"/>
      <c r="H135" s="56">
        <f t="shared" ref="H135" si="28">E135*F135</f>
        <v>0</v>
      </c>
    </row>
    <row r="136" spans="1:10" s="17" customFormat="1" ht="42">
      <c r="A136" s="135">
        <f t="shared" si="27"/>
        <v>116</v>
      </c>
      <c r="B136" s="51" t="s">
        <v>50</v>
      </c>
      <c r="C136" s="52" t="s">
        <v>83</v>
      </c>
      <c r="D136" s="53" t="s">
        <v>22</v>
      </c>
      <c r="E136" s="113">
        <f>ROUND(14.2+10.1+9.9+23.2+37.9+11+12.7+3.1+1.4+12.4+8.4,0)*3</f>
        <v>432</v>
      </c>
      <c r="F136" s="122"/>
      <c r="G136" s="59"/>
      <c r="H136" s="56">
        <f>E136*F136</f>
        <v>0</v>
      </c>
    </row>
    <row r="137" spans="1:10" s="17" customFormat="1" ht="15.6">
      <c r="A137" s="135">
        <f t="shared" si="27"/>
        <v>117</v>
      </c>
      <c r="B137" s="51" t="s">
        <v>38</v>
      </c>
      <c r="C137" s="52" t="s">
        <v>39</v>
      </c>
      <c r="D137" s="58" t="s">
        <v>80</v>
      </c>
      <c r="E137" s="115">
        <f>E139</f>
        <v>10.8</v>
      </c>
      <c r="F137" s="171"/>
      <c r="G137" s="55"/>
      <c r="H137" s="56">
        <f>E137*F137</f>
        <v>0</v>
      </c>
    </row>
    <row r="138" spans="1:10" s="17" customFormat="1" ht="15.6">
      <c r="A138" s="135">
        <f t="shared" si="27"/>
        <v>118</v>
      </c>
      <c r="B138" s="51" t="s">
        <v>40</v>
      </c>
      <c r="C138" s="52" t="s">
        <v>81</v>
      </c>
      <c r="D138" s="58" t="s">
        <v>80</v>
      </c>
      <c r="E138" s="115">
        <f>E139</f>
        <v>10.8</v>
      </c>
      <c r="F138" s="171"/>
      <c r="G138" s="55"/>
      <c r="H138" s="56">
        <f>E138*F138</f>
        <v>0</v>
      </c>
    </row>
    <row r="139" spans="1:10" s="17" customFormat="1" ht="15.6">
      <c r="A139" s="135">
        <f t="shared" si="27"/>
        <v>119</v>
      </c>
      <c r="B139" s="51" t="s">
        <v>23</v>
      </c>
      <c r="C139" s="52" t="s">
        <v>192</v>
      </c>
      <c r="D139" s="58" t="s">
        <v>80</v>
      </c>
      <c r="E139" s="115">
        <f>E136*25/1000</f>
        <v>10.8</v>
      </c>
      <c r="F139" s="171"/>
      <c r="G139" s="55">
        <f>E139*F139</f>
        <v>0</v>
      </c>
      <c r="H139" s="56"/>
    </row>
    <row r="140" spans="1:10" s="17" customFormat="1" ht="26.4">
      <c r="A140" s="135">
        <f t="shared" si="27"/>
        <v>120</v>
      </c>
      <c r="B140" s="51" t="s">
        <v>42</v>
      </c>
      <c r="C140" s="52" t="s">
        <v>52</v>
      </c>
      <c r="D140" s="53" t="s">
        <v>22</v>
      </c>
      <c r="E140" s="73">
        <f>E136</f>
        <v>432</v>
      </c>
      <c r="F140" s="168"/>
      <c r="G140" s="59"/>
      <c r="H140" s="56">
        <f>E140*F140</f>
        <v>0</v>
      </c>
    </row>
    <row r="141" spans="1:10" s="17" customFormat="1" ht="39.6">
      <c r="A141" s="135">
        <f t="shared" si="27"/>
        <v>121</v>
      </c>
      <c r="B141" s="51" t="s">
        <v>23</v>
      </c>
      <c r="C141" s="52" t="s">
        <v>174</v>
      </c>
      <c r="D141" s="53" t="s">
        <v>22</v>
      </c>
      <c r="E141" s="73">
        <f>E140/2</f>
        <v>216</v>
      </c>
      <c r="F141" s="168"/>
      <c r="G141" s="59">
        <f>E141*F141</f>
        <v>0</v>
      </c>
      <c r="H141" s="56"/>
    </row>
    <row r="142" spans="1:10" s="17" customFormat="1" ht="39.6">
      <c r="A142" s="135">
        <f t="shared" si="27"/>
        <v>122</v>
      </c>
      <c r="B142" s="51" t="s">
        <v>23</v>
      </c>
      <c r="C142" s="52" t="s">
        <v>175</v>
      </c>
      <c r="D142" s="53" t="s">
        <v>22</v>
      </c>
      <c r="E142" s="73">
        <f>E140/2</f>
        <v>216</v>
      </c>
      <c r="F142" s="168"/>
      <c r="G142" s="59">
        <f>E142*F142</f>
        <v>0</v>
      </c>
      <c r="H142" s="56"/>
    </row>
    <row r="143" spans="1:10" s="17" customFormat="1" ht="26.4">
      <c r="A143" s="135">
        <f t="shared" si="27"/>
        <v>123</v>
      </c>
      <c r="B143" s="110" t="s">
        <v>43</v>
      </c>
      <c r="C143" s="110" t="s">
        <v>173</v>
      </c>
      <c r="D143" s="53" t="s">
        <v>24</v>
      </c>
      <c r="E143" s="73">
        <f>E136*12*1/10000</f>
        <v>0.51839999999999997</v>
      </c>
      <c r="F143" s="168"/>
      <c r="G143" s="59"/>
      <c r="H143" s="56">
        <f t="shared" ref="H143" si="29">E143*F143</f>
        <v>0</v>
      </c>
    </row>
    <row r="144" spans="1:10" s="17" customFormat="1" ht="26.4">
      <c r="A144" s="135">
        <f t="shared" si="27"/>
        <v>124</v>
      </c>
      <c r="B144" s="110" t="s">
        <v>113</v>
      </c>
      <c r="C144" s="110" t="s">
        <v>172</v>
      </c>
      <c r="D144" s="111" t="s">
        <v>46</v>
      </c>
      <c r="E144" s="73">
        <f>E136*12*1/1000</f>
        <v>5.1840000000000002</v>
      </c>
      <c r="F144" s="168"/>
      <c r="G144" s="59">
        <f t="shared" ref="G144" si="30">E144*F144</f>
        <v>0</v>
      </c>
      <c r="H144" s="56"/>
    </row>
    <row r="145" spans="1:10" s="17" customFormat="1">
      <c r="A145" s="135">
        <f t="shared" si="27"/>
        <v>125</v>
      </c>
      <c r="B145" s="51" t="s">
        <v>28</v>
      </c>
      <c r="C145" s="52" t="s">
        <v>47</v>
      </c>
      <c r="D145" s="53" t="s">
        <v>22</v>
      </c>
      <c r="E145" s="73">
        <f>E136</f>
        <v>432</v>
      </c>
      <c r="F145" s="168"/>
      <c r="G145" s="59"/>
      <c r="H145" s="56">
        <f>E145*F145</f>
        <v>0</v>
      </c>
    </row>
    <row r="146" spans="1:10" s="17" customFormat="1" ht="15.6">
      <c r="A146" s="135">
        <f t="shared" si="27"/>
        <v>126</v>
      </c>
      <c r="B146" s="51" t="s">
        <v>38</v>
      </c>
      <c r="C146" s="52" t="s">
        <v>39</v>
      </c>
      <c r="D146" s="58" t="s">
        <v>80</v>
      </c>
      <c r="E146" s="115">
        <f>E148</f>
        <v>4.32</v>
      </c>
      <c r="F146" s="171"/>
      <c r="G146" s="59"/>
      <c r="H146" s="56">
        <f t="shared" ref="H146:H147" si="31">E146*F146</f>
        <v>0</v>
      </c>
    </row>
    <row r="147" spans="1:10" s="17" customFormat="1" ht="28.8">
      <c r="A147" s="135">
        <f t="shared" si="27"/>
        <v>127</v>
      </c>
      <c r="B147" s="51" t="s">
        <v>40</v>
      </c>
      <c r="C147" s="52" t="s">
        <v>82</v>
      </c>
      <c r="D147" s="58" t="s">
        <v>80</v>
      </c>
      <c r="E147" s="115">
        <f>E148</f>
        <v>4.32</v>
      </c>
      <c r="F147" s="171"/>
      <c r="G147" s="59"/>
      <c r="H147" s="56">
        <f t="shared" si="31"/>
        <v>0</v>
      </c>
    </row>
    <row r="148" spans="1:10" s="17" customFormat="1" ht="15.6">
      <c r="A148" s="135">
        <f t="shared" si="27"/>
        <v>128</v>
      </c>
      <c r="B148" s="51" t="s">
        <v>23</v>
      </c>
      <c r="C148" s="52" t="s">
        <v>51</v>
      </c>
      <c r="D148" s="58" t="s">
        <v>80</v>
      </c>
      <c r="E148" s="115">
        <f>E136*10/1000</f>
        <v>4.32</v>
      </c>
      <c r="F148" s="171"/>
      <c r="G148" s="55">
        <f>E148*F148</f>
        <v>0</v>
      </c>
      <c r="H148" s="56"/>
    </row>
    <row r="149" spans="1:10" s="17" customFormat="1" ht="26.4">
      <c r="A149" s="135">
        <f t="shared" si="27"/>
        <v>129</v>
      </c>
      <c r="B149" s="110" t="s">
        <v>121</v>
      </c>
      <c r="C149" s="110" t="s">
        <v>161</v>
      </c>
      <c r="D149" s="111" t="s">
        <v>79</v>
      </c>
      <c r="E149" s="73">
        <f>(12+8+8+20+40+9+12+6)*1.05</f>
        <v>120.75</v>
      </c>
      <c r="F149" s="122"/>
      <c r="G149" s="55"/>
      <c r="H149" s="56">
        <f t="shared" ref="H149" si="32">E149*F149</f>
        <v>0</v>
      </c>
    </row>
    <row r="150" spans="1:10" s="17" customFormat="1" ht="15.6">
      <c r="A150" s="135">
        <f t="shared" si="27"/>
        <v>130</v>
      </c>
      <c r="B150" s="110" t="s">
        <v>23</v>
      </c>
      <c r="C150" s="110" t="s">
        <v>123</v>
      </c>
      <c r="D150" s="111" t="s">
        <v>80</v>
      </c>
      <c r="E150" s="73">
        <f>E149*0.1*1.03</f>
        <v>12.437250000000001</v>
      </c>
      <c r="F150" s="122"/>
      <c r="G150" s="55">
        <f t="shared" ref="G150" si="33">E150*F150</f>
        <v>0</v>
      </c>
      <c r="H150" s="56"/>
    </row>
    <row r="151" spans="1:10" s="17" customFormat="1" ht="26.4">
      <c r="A151" s="135">
        <f t="shared" si="27"/>
        <v>131</v>
      </c>
      <c r="B151" s="98" t="s">
        <v>94</v>
      </c>
      <c r="C151" s="98" t="s">
        <v>122</v>
      </c>
      <c r="D151" s="99" t="s">
        <v>24</v>
      </c>
      <c r="E151" s="73">
        <f>E150*0.3</f>
        <v>3.7311749999999999</v>
      </c>
      <c r="F151" s="172"/>
      <c r="G151" s="55"/>
      <c r="H151" s="56">
        <f t="shared" ref="H151:H152" si="34">E151*F151</f>
        <v>0</v>
      </c>
    </row>
    <row r="152" spans="1:10" s="17" customFormat="1" ht="26.4">
      <c r="A152" s="135">
        <f t="shared" si="27"/>
        <v>132</v>
      </c>
      <c r="B152" s="98" t="s">
        <v>96</v>
      </c>
      <c r="C152" s="98" t="s">
        <v>120</v>
      </c>
      <c r="D152" s="99" t="s">
        <v>24</v>
      </c>
      <c r="E152" s="73">
        <f>E150*0.3</f>
        <v>3.7311749999999999</v>
      </c>
      <c r="F152" s="172"/>
      <c r="G152" s="55"/>
      <c r="H152" s="56">
        <f t="shared" si="34"/>
        <v>0</v>
      </c>
    </row>
    <row r="153" spans="1:10" s="17" customFormat="1" ht="13.8" thickBot="1">
      <c r="A153" s="68">
        <f>A152+1</f>
        <v>133</v>
      </c>
      <c r="B153" s="51" t="s">
        <v>48</v>
      </c>
      <c r="C153" s="52" t="s">
        <v>49</v>
      </c>
      <c r="D153" s="53" t="s">
        <v>22</v>
      </c>
      <c r="E153" s="73">
        <f>E136</f>
        <v>432</v>
      </c>
      <c r="F153" s="168"/>
      <c r="G153" s="59"/>
      <c r="H153" s="56">
        <f>E153*F153</f>
        <v>0</v>
      </c>
      <c r="J153" s="5">
        <f>SUM(G133:H153)</f>
        <v>0</v>
      </c>
    </row>
    <row r="154" spans="1:10" s="17" customFormat="1" ht="15" customHeight="1" thickBot="1">
      <c r="A154" s="36"/>
      <c r="B154" s="132" t="s">
        <v>21</v>
      </c>
      <c r="C154" s="133" t="s">
        <v>160</v>
      </c>
      <c r="D154" s="39"/>
      <c r="E154" s="39"/>
      <c r="F154" s="167"/>
      <c r="G154" s="40"/>
      <c r="H154" s="41"/>
    </row>
    <row r="155" spans="1:10" s="17" customFormat="1" ht="28.8">
      <c r="A155" s="134">
        <f>A153+1</f>
        <v>134</v>
      </c>
      <c r="B155" s="136" t="s">
        <v>35</v>
      </c>
      <c r="C155" s="136" t="s">
        <v>166</v>
      </c>
      <c r="D155" s="137" t="s">
        <v>79</v>
      </c>
      <c r="E155" s="139">
        <f>(10.5+9+9.5+11+10.5)*1.05</f>
        <v>53.025000000000006</v>
      </c>
      <c r="F155" s="138"/>
      <c r="G155" s="48"/>
      <c r="H155" s="49">
        <f>E155*F155</f>
        <v>0</v>
      </c>
    </row>
    <row r="156" spans="1:10" s="17" customFormat="1" ht="15" customHeight="1">
      <c r="A156" s="135">
        <f>A155+1</f>
        <v>135</v>
      </c>
      <c r="B156" s="110" t="s">
        <v>23</v>
      </c>
      <c r="C156" s="110" t="s">
        <v>164</v>
      </c>
      <c r="D156" s="111" t="s">
        <v>162</v>
      </c>
      <c r="E156" s="140">
        <f>E155*5/10000*1.03</f>
        <v>2.7307875000000002E-2</v>
      </c>
      <c r="F156" s="122"/>
      <c r="G156" s="54">
        <f>E156*F156</f>
        <v>0</v>
      </c>
      <c r="H156" s="56"/>
    </row>
    <row r="157" spans="1:10" s="17" customFormat="1" ht="26.4">
      <c r="A157" s="135">
        <f t="shared" ref="A157:A173" si="35">A156+1</f>
        <v>136</v>
      </c>
      <c r="B157" s="110" t="s">
        <v>163</v>
      </c>
      <c r="C157" s="110" t="s">
        <v>165</v>
      </c>
      <c r="D157" s="111" t="s">
        <v>79</v>
      </c>
      <c r="E157" s="140">
        <f>(12+8+8+20+40+9+12+6)*1.05</f>
        <v>120.75</v>
      </c>
      <c r="F157" s="122"/>
      <c r="G157" s="54"/>
      <c r="H157" s="56">
        <f t="shared" ref="H157" si="36">E157*F157</f>
        <v>0</v>
      </c>
    </row>
    <row r="158" spans="1:10" s="17" customFormat="1" ht="15.6">
      <c r="A158" s="135">
        <f t="shared" si="35"/>
        <v>137</v>
      </c>
      <c r="B158" s="110" t="s">
        <v>23</v>
      </c>
      <c r="C158" s="110" t="s">
        <v>119</v>
      </c>
      <c r="D158" s="111" t="s">
        <v>80</v>
      </c>
      <c r="E158" s="115">
        <f>E153*1*1.03</f>
        <v>444.96000000000004</v>
      </c>
      <c r="F158" s="171"/>
      <c r="G158" s="55">
        <f>E158*F158</f>
        <v>0</v>
      </c>
      <c r="H158" s="56"/>
    </row>
    <row r="159" spans="1:10" s="17" customFormat="1" ht="42">
      <c r="A159" s="135">
        <f t="shared" si="35"/>
        <v>138</v>
      </c>
      <c r="B159" s="51" t="s">
        <v>180</v>
      </c>
      <c r="C159" s="52" t="s">
        <v>181</v>
      </c>
      <c r="D159" s="53" t="s">
        <v>22</v>
      </c>
      <c r="E159" s="113">
        <f>ROUND(E155*9,0)</f>
        <v>477</v>
      </c>
      <c r="F159" s="122"/>
      <c r="G159" s="59"/>
      <c r="H159" s="56">
        <f>E159*F159</f>
        <v>0</v>
      </c>
    </row>
    <row r="160" spans="1:10" s="17" customFormat="1" ht="15.6">
      <c r="A160" s="135">
        <f t="shared" si="35"/>
        <v>139</v>
      </c>
      <c r="B160" s="51" t="s">
        <v>38</v>
      </c>
      <c r="C160" s="52" t="s">
        <v>39</v>
      </c>
      <c r="D160" s="58" t="s">
        <v>80</v>
      </c>
      <c r="E160" s="115">
        <f>E162</f>
        <v>4.7699999999999996</v>
      </c>
      <c r="F160" s="171"/>
      <c r="G160" s="55"/>
      <c r="H160" s="56">
        <f>E160*F160</f>
        <v>0</v>
      </c>
    </row>
    <row r="161" spans="1:10" s="17" customFormat="1" ht="15.6">
      <c r="A161" s="135">
        <f t="shared" si="35"/>
        <v>140</v>
      </c>
      <c r="B161" s="51" t="s">
        <v>40</v>
      </c>
      <c r="C161" s="52" t="s">
        <v>81</v>
      </c>
      <c r="D161" s="58" t="s">
        <v>80</v>
      </c>
      <c r="E161" s="115">
        <f>E162</f>
        <v>4.7699999999999996</v>
      </c>
      <c r="F161" s="171"/>
      <c r="G161" s="55"/>
      <c r="H161" s="56">
        <f>E161*F161</f>
        <v>0</v>
      </c>
    </row>
    <row r="162" spans="1:10" s="17" customFormat="1" ht="15.6">
      <c r="A162" s="135">
        <f t="shared" si="35"/>
        <v>141</v>
      </c>
      <c r="B162" s="51" t="s">
        <v>23</v>
      </c>
      <c r="C162" s="52" t="s">
        <v>51</v>
      </c>
      <c r="D162" s="58" t="s">
        <v>80</v>
      </c>
      <c r="E162" s="115">
        <f>E159*10/1000</f>
        <v>4.7699999999999996</v>
      </c>
      <c r="F162" s="171"/>
      <c r="G162" s="55">
        <f>E162*F162</f>
        <v>0</v>
      </c>
      <c r="H162" s="56"/>
    </row>
    <row r="163" spans="1:10" s="17" customFormat="1">
      <c r="A163" s="135">
        <f t="shared" si="35"/>
        <v>142</v>
      </c>
      <c r="B163" s="51" t="s">
        <v>54</v>
      </c>
      <c r="C163" s="52" t="s">
        <v>55</v>
      </c>
      <c r="D163" s="53" t="s">
        <v>22</v>
      </c>
      <c r="E163" s="73">
        <f>E159</f>
        <v>477</v>
      </c>
      <c r="F163" s="168"/>
      <c r="G163" s="59"/>
      <c r="H163" s="56">
        <f>E163*F163</f>
        <v>0</v>
      </c>
    </row>
    <row r="164" spans="1:10" s="17" customFormat="1">
      <c r="A164" s="135">
        <f t="shared" si="35"/>
        <v>143</v>
      </c>
      <c r="B164" s="51" t="s">
        <v>23</v>
      </c>
      <c r="C164" s="52" t="s">
        <v>58</v>
      </c>
      <c r="D164" s="53" t="s">
        <v>22</v>
      </c>
      <c r="E164" s="73">
        <f>E159</f>
        <v>477</v>
      </c>
      <c r="F164" s="168"/>
      <c r="G164" s="59">
        <f>E164*F164</f>
        <v>0</v>
      </c>
      <c r="H164" s="56"/>
      <c r="J164" s="5"/>
    </row>
    <row r="165" spans="1:10" s="17" customFormat="1" ht="26.4">
      <c r="A165" s="135">
        <f t="shared" si="35"/>
        <v>144</v>
      </c>
      <c r="B165" s="51" t="s">
        <v>43</v>
      </c>
      <c r="C165" s="52" t="s">
        <v>44</v>
      </c>
      <c r="D165" s="53" t="s">
        <v>24</v>
      </c>
      <c r="E165" s="73">
        <f>E159*0.1/1000</f>
        <v>4.7700000000000006E-2</v>
      </c>
      <c r="F165" s="168"/>
      <c r="G165" s="59"/>
      <c r="H165" s="56">
        <f t="shared" ref="H165" si="37">E165*F165</f>
        <v>0</v>
      </c>
    </row>
    <row r="166" spans="1:10" s="17" customFormat="1">
      <c r="A166" s="135">
        <f t="shared" si="35"/>
        <v>145</v>
      </c>
      <c r="B166" s="51" t="s">
        <v>23</v>
      </c>
      <c r="C166" s="52" t="s">
        <v>45</v>
      </c>
      <c r="D166" s="53" t="s">
        <v>46</v>
      </c>
      <c r="E166" s="115">
        <f>E159*0.1</f>
        <v>47.7</v>
      </c>
      <c r="F166" s="168"/>
      <c r="G166" s="59">
        <f t="shared" ref="G166" si="38">E166*F166</f>
        <v>0</v>
      </c>
      <c r="H166" s="56"/>
    </row>
    <row r="167" spans="1:10" s="17" customFormat="1" ht="15.6">
      <c r="A167" s="135">
        <f t="shared" si="35"/>
        <v>146</v>
      </c>
      <c r="B167" s="51" t="s">
        <v>56</v>
      </c>
      <c r="C167" s="52" t="s">
        <v>182</v>
      </c>
      <c r="D167" s="53" t="s">
        <v>79</v>
      </c>
      <c r="E167" s="73">
        <f>E155</f>
        <v>53.025000000000006</v>
      </c>
      <c r="F167" s="168"/>
      <c r="G167" s="59"/>
      <c r="H167" s="56">
        <f>E167*F167</f>
        <v>0</v>
      </c>
      <c r="J167" s="5"/>
    </row>
    <row r="168" spans="1:10" s="17" customFormat="1" ht="15.6">
      <c r="A168" s="135">
        <f t="shared" si="35"/>
        <v>147</v>
      </c>
      <c r="B168" s="51" t="s">
        <v>23</v>
      </c>
      <c r="C168" s="52" t="s">
        <v>57</v>
      </c>
      <c r="D168" s="58" t="s">
        <v>80</v>
      </c>
      <c r="E168" s="73">
        <f>SUM(E166:E167)*0.1</f>
        <v>10.072500000000002</v>
      </c>
      <c r="F168" s="171"/>
      <c r="G168" s="59">
        <f>E168*F168</f>
        <v>0</v>
      </c>
      <c r="H168" s="56"/>
      <c r="J168" s="5"/>
    </row>
    <row r="169" spans="1:10" s="17" customFormat="1" ht="26.4">
      <c r="A169" s="135">
        <f t="shared" si="35"/>
        <v>148</v>
      </c>
      <c r="B169" s="98" t="s">
        <v>94</v>
      </c>
      <c r="C169" s="98" t="s">
        <v>122</v>
      </c>
      <c r="D169" s="99" t="s">
        <v>24</v>
      </c>
      <c r="E169" s="73">
        <f>E168*0.3</f>
        <v>3.0217500000000004</v>
      </c>
      <c r="F169" s="171"/>
      <c r="G169" s="59"/>
      <c r="H169" s="56">
        <f t="shared" ref="H169:H172" si="39">E169*F169</f>
        <v>0</v>
      </c>
      <c r="J169" s="5"/>
    </row>
    <row r="170" spans="1:10" s="17" customFormat="1" ht="26.4">
      <c r="A170" s="135">
        <f t="shared" si="35"/>
        <v>149</v>
      </c>
      <c r="B170" s="98" t="s">
        <v>96</v>
      </c>
      <c r="C170" s="98" t="s">
        <v>120</v>
      </c>
      <c r="D170" s="99" t="s">
        <v>24</v>
      </c>
      <c r="E170" s="73">
        <f>E168*0.3</f>
        <v>3.0217500000000004</v>
      </c>
      <c r="F170" s="171"/>
      <c r="G170" s="59"/>
      <c r="H170" s="56">
        <f t="shared" si="39"/>
        <v>0</v>
      </c>
      <c r="J170" s="5"/>
    </row>
    <row r="171" spans="1:10" s="17" customFormat="1" ht="15.6">
      <c r="A171" s="135">
        <f t="shared" si="35"/>
        <v>150</v>
      </c>
      <c r="B171" s="51" t="s">
        <v>38</v>
      </c>
      <c r="C171" s="52" t="s">
        <v>39</v>
      </c>
      <c r="D171" s="58" t="s">
        <v>80</v>
      </c>
      <c r="E171" s="115">
        <f>E173</f>
        <v>2.3849999999999998</v>
      </c>
      <c r="F171" s="171"/>
      <c r="G171" s="59"/>
      <c r="H171" s="56">
        <f t="shared" si="39"/>
        <v>0</v>
      </c>
    </row>
    <row r="172" spans="1:10" s="17" customFormat="1" ht="28.8">
      <c r="A172" s="135">
        <f t="shared" si="35"/>
        <v>151</v>
      </c>
      <c r="B172" s="51" t="s">
        <v>40</v>
      </c>
      <c r="C172" s="52" t="s">
        <v>82</v>
      </c>
      <c r="D172" s="58" t="s">
        <v>80</v>
      </c>
      <c r="E172" s="115">
        <f>E173</f>
        <v>2.3849999999999998</v>
      </c>
      <c r="F172" s="171"/>
      <c r="G172" s="59"/>
      <c r="H172" s="56">
        <f t="shared" si="39"/>
        <v>0</v>
      </c>
    </row>
    <row r="173" spans="1:10" s="17" customFormat="1" ht="16.2" thickBot="1">
      <c r="A173" s="135">
        <f t="shared" si="35"/>
        <v>152</v>
      </c>
      <c r="B173" s="51" t="s">
        <v>23</v>
      </c>
      <c r="C173" s="52" t="s">
        <v>53</v>
      </c>
      <c r="D173" s="58" t="s">
        <v>80</v>
      </c>
      <c r="E173" s="115">
        <f>E159*5/1000</f>
        <v>2.3849999999999998</v>
      </c>
      <c r="F173" s="171"/>
      <c r="G173" s="55">
        <f>E173*F173</f>
        <v>0</v>
      </c>
      <c r="H173" s="56"/>
    </row>
    <row r="174" spans="1:10" s="17" customFormat="1" ht="15" customHeight="1" thickBot="1">
      <c r="A174" s="36"/>
      <c r="B174" s="132" t="s">
        <v>21</v>
      </c>
      <c r="C174" s="133" t="s">
        <v>185</v>
      </c>
      <c r="D174" s="39"/>
      <c r="E174" s="39"/>
      <c r="F174" s="167"/>
      <c r="G174" s="40"/>
      <c r="H174" s="41"/>
    </row>
    <row r="175" spans="1:10" s="17" customFormat="1" ht="28.8">
      <c r="A175" s="134">
        <f>A173+1</f>
        <v>153</v>
      </c>
      <c r="B175" s="136" t="s">
        <v>188</v>
      </c>
      <c r="C175" s="136" t="s">
        <v>186</v>
      </c>
      <c r="D175" s="137" t="s">
        <v>79</v>
      </c>
      <c r="E175" s="139">
        <f>(4+64+32.5+41+46.5+48.5)*1.05</f>
        <v>248.32500000000002</v>
      </c>
      <c r="F175" s="138"/>
      <c r="G175" s="48"/>
      <c r="H175" s="49">
        <f>E175*F175</f>
        <v>0</v>
      </c>
    </row>
    <row r="176" spans="1:10" s="17" customFormat="1">
      <c r="A176" s="135">
        <f>A175+1</f>
        <v>154</v>
      </c>
      <c r="B176" s="110" t="s">
        <v>23</v>
      </c>
      <c r="C176" s="110" t="s">
        <v>164</v>
      </c>
      <c r="D176" s="111" t="s">
        <v>162</v>
      </c>
      <c r="E176" s="140">
        <f>E175*5/10000*1.03</f>
        <v>0.127887375</v>
      </c>
      <c r="F176" s="122"/>
      <c r="G176" s="54">
        <f>E176*F176</f>
        <v>0</v>
      </c>
      <c r="H176" s="56"/>
    </row>
    <row r="177" spans="1:10" s="17" customFormat="1" ht="26.4">
      <c r="A177" s="135">
        <f t="shared" ref="A177:A193" si="40">A176+1</f>
        <v>155</v>
      </c>
      <c r="B177" s="110" t="s">
        <v>163</v>
      </c>
      <c r="C177" s="110" t="s">
        <v>165</v>
      </c>
      <c r="D177" s="111" t="s">
        <v>79</v>
      </c>
      <c r="E177" s="140">
        <f>(12+8+8+20+40+9+12+6)*1.05</f>
        <v>120.75</v>
      </c>
      <c r="F177" s="122"/>
      <c r="G177" s="54"/>
      <c r="H177" s="56">
        <f t="shared" ref="H177" si="41">E177*F177</f>
        <v>0</v>
      </c>
    </row>
    <row r="178" spans="1:10" s="17" customFormat="1" ht="15.6">
      <c r="A178" s="135">
        <f t="shared" si="40"/>
        <v>156</v>
      </c>
      <c r="B178" s="110" t="s">
        <v>23</v>
      </c>
      <c r="C178" s="110" t="s">
        <v>119</v>
      </c>
      <c r="D178" s="111" t="s">
        <v>80</v>
      </c>
      <c r="E178" s="115">
        <f>E173*1*1.03</f>
        <v>2.45655</v>
      </c>
      <c r="F178" s="171"/>
      <c r="G178" s="55">
        <f>E178*F178</f>
        <v>0</v>
      </c>
      <c r="H178" s="56"/>
    </row>
    <row r="179" spans="1:10" s="17" customFormat="1" ht="42">
      <c r="A179" s="135">
        <f t="shared" si="40"/>
        <v>157</v>
      </c>
      <c r="B179" s="51" t="s">
        <v>189</v>
      </c>
      <c r="C179" s="52" t="s">
        <v>187</v>
      </c>
      <c r="D179" s="53" t="s">
        <v>22</v>
      </c>
      <c r="E179" s="141">
        <f>ROUND(E175*9,0)</f>
        <v>2235</v>
      </c>
      <c r="F179" s="122"/>
      <c r="G179" s="59"/>
      <c r="H179" s="56">
        <f>E179*F179</f>
        <v>0</v>
      </c>
    </row>
    <row r="180" spans="1:10" s="17" customFormat="1" ht="15.6">
      <c r="A180" s="135">
        <f t="shared" si="40"/>
        <v>158</v>
      </c>
      <c r="B180" s="51" t="s">
        <v>38</v>
      </c>
      <c r="C180" s="52" t="s">
        <v>39</v>
      </c>
      <c r="D180" s="58" t="s">
        <v>80</v>
      </c>
      <c r="E180" s="115">
        <f>E182</f>
        <v>22.35</v>
      </c>
      <c r="F180" s="171"/>
      <c r="G180" s="55"/>
      <c r="H180" s="56">
        <f>E180*F180</f>
        <v>0</v>
      </c>
    </row>
    <row r="181" spans="1:10" s="17" customFormat="1" ht="15.6">
      <c r="A181" s="135">
        <f t="shared" si="40"/>
        <v>159</v>
      </c>
      <c r="B181" s="51" t="s">
        <v>40</v>
      </c>
      <c r="C181" s="52" t="s">
        <v>81</v>
      </c>
      <c r="D181" s="58" t="s">
        <v>80</v>
      </c>
      <c r="E181" s="115">
        <f>E182</f>
        <v>22.35</v>
      </c>
      <c r="F181" s="171"/>
      <c r="G181" s="55"/>
      <c r="H181" s="56">
        <f>E181*F181</f>
        <v>0</v>
      </c>
    </row>
    <row r="182" spans="1:10" s="17" customFormat="1" ht="15.6">
      <c r="A182" s="135">
        <f t="shared" si="40"/>
        <v>160</v>
      </c>
      <c r="B182" s="51" t="s">
        <v>23</v>
      </c>
      <c r="C182" s="52" t="s">
        <v>51</v>
      </c>
      <c r="D182" s="58" t="s">
        <v>80</v>
      </c>
      <c r="E182" s="115">
        <f>E179*10/1000</f>
        <v>22.35</v>
      </c>
      <c r="F182" s="171"/>
      <c r="G182" s="55">
        <f>E182*F182</f>
        <v>0</v>
      </c>
      <c r="H182" s="56"/>
    </row>
    <row r="183" spans="1:10" s="17" customFormat="1">
      <c r="A183" s="135">
        <f t="shared" si="40"/>
        <v>161</v>
      </c>
      <c r="B183" s="51" t="s">
        <v>54</v>
      </c>
      <c r="C183" s="52" t="s">
        <v>55</v>
      </c>
      <c r="D183" s="53" t="s">
        <v>22</v>
      </c>
      <c r="E183" s="141">
        <f>E179</f>
        <v>2235</v>
      </c>
      <c r="F183" s="168"/>
      <c r="G183" s="59"/>
      <c r="H183" s="56">
        <f>E183*F183</f>
        <v>0</v>
      </c>
      <c r="J183" s="5"/>
    </row>
    <row r="184" spans="1:10" s="17" customFormat="1">
      <c r="A184" s="135">
        <f t="shared" si="40"/>
        <v>162</v>
      </c>
      <c r="B184" s="51" t="s">
        <v>23</v>
      </c>
      <c r="C184" s="52" t="s">
        <v>58</v>
      </c>
      <c r="D184" s="53" t="s">
        <v>22</v>
      </c>
      <c r="E184" s="141">
        <f>E179</f>
        <v>2235</v>
      </c>
      <c r="F184" s="168"/>
      <c r="G184" s="59">
        <f>E184*F184</f>
        <v>0</v>
      </c>
      <c r="H184" s="56"/>
      <c r="J184" s="5"/>
    </row>
    <row r="185" spans="1:10" s="17" customFormat="1" ht="26.4">
      <c r="A185" s="135">
        <f t="shared" si="40"/>
        <v>163</v>
      </c>
      <c r="B185" s="51" t="s">
        <v>43</v>
      </c>
      <c r="C185" s="52" t="s">
        <v>44</v>
      </c>
      <c r="D185" s="53" t="s">
        <v>24</v>
      </c>
      <c r="E185" s="73">
        <f>E179*0.1/1000</f>
        <v>0.2235</v>
      </c>
      <c r="F185" s="168"/>
      <c r="G185" s="59"/>
      <c r="H185" s="56">
        <f t="shared" ref="H185" si="42">E185*F185</f>
        <v>0</v>
      </c>
      <c r="J185" s="5"/>
    </row>
    <row r="186" spans="1:10" s="17" customFormat="1">
      <c r="A186" s="135">
        <f t="shared" si="40"/>
        <v>164</v>
      </c>
      <c r="B186" s="51" t="s">
        <v>23</v>
      </c>
      <c r="C186" s="52" t="s">
        <v>45</v>
      </c>
      <c r="D186" s="53" t="s">
        <v>46</v>
      </c>
      <c r="E186" s="115">
        <f>E179*0.1</f>
        <v>223.5</v>
      </c>
      <c r="F186" s="168"/>
      <c r="G186" s="59">
        <f t="shared" ref="G186" si="43">E186*F186</f>
        <v>0</v>
      </c>
      <c r="H186" s="56"/>
      <c r="J186" s="5"/>
    </row>
    <row r="187" spans="1:10" s="17" customFormat="1" ht="15.6">
      <c r="A187" s="135">
        <f t="shared" si="40"/>
        <v>165</v>
      </c>
      <c r="B187" s="51" t="s">
        <v>56</v>
      </c>
      <c r="C187" s="52" t="s">
        <v>182</v>
      </c>
      <c r="D187" s="53" t="s">
        <v>79</v>
      </c>
      <c r="E187" s="73">
        <f>E175</f>
        <v>248.32500000000002</v>
      </c>
      <c r="F187" s="168"/>
      <c r="G187" s="59"/>
      <c r="H187" s="56">
        <f>E187*F187</f>
        <v>0</v>
      </c>
      <c r="J187" s="5"/>
    </row>
    <row r="188" spans="1:10" s="17" customFormat="1" ht="15.6">
      <c r="A188" s="135">
        <f t="shared" si="40"/>
        <v>166</v>
      </c>
      <c r="B188" s="51" t="s">
        <v>23</v>
      </c>
      <c r="C188" s="52" t="s">
        <v>57</v>
      </c>
      <c r="D188" s="58" t="s">
        <v>80</v>
      </c>
      <c r="E188" s="73">
        <f>SUM(E186:E187)*0.1</f>
        <v>47.182500000000005</v>
      </c>
      <c r="F188" s="171"/>
      <c r="G188" s="59">
        <f>E188*F188</f>
        <v>0</v>
      </c>
      <c r="H188" s="56"/>
      <c r="J188" s="5"/>
    </row>
    <row r="189" spans="1:10" s="17" customFormat="1" ht="26.4">
      <c r="A189" s="135">
        <f t="shared" si="40"/>
        <v>167</v>
      </c>
      <c r="B189" s="98" t="s">
        <v>94</v>
      </c>
      <c r="C189" s="98" t="s">
        <v>122</v>
      </c>
      <c r="D189" s="99" t="s">
        <v>24</v>
      </c>
      <c r="E189" s="73">
        <f>E188*0.3</f>
        <v>14.154750000000002</v>
      </c>
      <c r="F189" s="172"/>
      <c r="G189" s="59"/>
      <c r="H189" s="56">
        <f t="shared" ref="H189:H190" si="44">E189*F189</f>
        <v>0</v>
      </c>
      <c r="J189" s="5"/>
    </row>
    <row r="190" spans="1:10" s="17" customFormat="1" ht="26.4">
      <c r="A190" s="135">
        <f t="shared" si="40"/>
        <v>168</v>
      </c>
      <c r="B190" s="98" t="s">
        <v>96</v>
      </c>
      <c r="C190" s="98" t="s">
        <v>120</v>
      </c>
      <c r="D190" s="99" t="s">
        <v>24</v>
      </c>
      <c r="E190" s="73">
        <f>E188*0.3</f>
        <v>14.154750000000002</v>
      </c>
      <c r="F190" s="172"/>
      <c r="G190" s="59"/>
      <c r="H190" s="56">
        <f t="shared" si="44"/>
        <v>0</v>
      </c>
      <c r="J190" s="5"/>
    </row>
    <row r="191" spans="1:10" s="17" customFormat="1" ht="15.6">
      <c r="A191" s="135">
        <f t="shared" si="40"/>
        <v>169</v>
      </c>
      <c r="B191" s="51" t="s">
        <v>38</v>
      </c>
      <c r="C191" s="52" t="s">
        <v>39</v>
      </c>
      <c r="D191" s="58" t="s">
        <v>80</v>
      </c>
      <c r="E191" s="115">
        <f>E193</f>
        <v>11.175000000000001</v>
      </c>
      <c r="F191" s="171"/>
      <c r="G191" s="59"/>
      <c r="H191" s="56">
        <f t="shared" ref="H191:H192" si="45">E191*F191</f>
        <v>0</v>
      </c>
      <c r="J191" s="5"/>
    </row>
    <row r="192" spans="1:10" s="17" customFormat="1" ht="28.8">
      <c r="A192" s="135">
        <f t="shared" si="40"/>
        <v>170</v>
      </c>
      <c r="B192" s="51" t="s">
        <v>40</v>
      </c>
      <c r="C192" s="52" t="s">
        <v>82</v>
      </c>
      <c r="D192" s="58" t="s">
        <v>80</v>
      </c>
      <c r="E192" s="115">
        <f>E193</f>
        <v>11.175000000000001</v>
      </c>
      <c r="F192" s="171"/>
      <c r="G192" s="59"/>
      <c r="H192" s="56">
        <f t="shared" si="45"/>
        <v>0</v>
      </c>
    </row>
    <row r="193" spans="1:8" s="17" customFormat="1" ht="16.2" thickBot="1">
      <c r="A193" s="135">
        <f t="shared" si="40"/>
        <v>171</v>
      </c>
      <c r="B193" s="51" t="s">
        <v>23</v>
      </c>
      <c r="C193" s="52" t="s">
        <v>53</v>
      </c>
      <c r="D193" s="58" t="s">
        <v>80</v>
      </c>
      <c r="E193" s="115">
        <f>E179*5/1000</f>
        <v>11.175000000000001</v>
      </c>
      <c r="F193" s="171"/>
      <c r="G193" s="55">
        <f>E193*F193</f>
        <v>0</v>
      </c>
      <c r="H193" s="56"/>
    </row>
    <row r="194" spans="1:8" s="17" customFormat="1" ht="15" customHeight="1" thickBot="1">
      <c r="A194" s="36"/>
      <c r="B194" s="132" t="s">
        <v>21</v>
      </c>
      <c r="C194" s="133" t="s">
        <v>190</v>
      </c>
      <c r="D194" s="39"/>
      <c r="E194" s="39"/>
      <c r="F194" s="167"/>
      <c r="G194" s="40"/>
      <c r="H194" s="41"/>
    </row>
    <row r="195" spans="1:8" s="17" customFormat="1" ht="26.4">
      <c r="A195" s="68">
        <f>A193+1</f>
        <v>172</v>
      </c>
      <c r="B195" s="51" t="s">
        <v>38</v>
      </c>
      <c r="C195" s="52" t="s">
        <v>59</v>
      </c>
      <c r="D195" s="58" t="s">
        <v>80</v>
      </c>
      <c r="E195" s="72">
        <f>E197</f>
        <v>27.87</v>
      </c>
      <c r="F195" s="171"/>
      <c r="G195" s="55"/>
      <c r="H195" s="56">
        <f>E195*F195</f>
        <v>0</v>
      </c>
    </row>
    <row r="196" spans="1:8" s="17" customFormat="1" ht="15.6">
      <c r="A196" s="50">
        <f>A195+1</f>
        <v>173</v>
      </c>
      <c r="B196" s="51" t="s">
        <v>40</v>
      </c>
      <c r="C196" s="52" t="s">
        <v>81</v>
      </c>
      <c r="D196" s="58" t="s">
        <v>80</v>
      </c>
      <c r="E196" s="72">
        <f>E197</f>
        <v>27.87</v>
      </c>
      <c r="F196" s="171"/>
      <c r="G196" s="55"/>
      <c r="H196" s="56">
        <f>E196*F196</f>
        <v>0</v>
      </c>
    </row>
    <row r="197" spans="1:8" s="17" customFormat="1" ht="28.8">
      <c r="A197" s="68">
        <f>A196+1</f>
        <v>174</v>
      </c>
      <c r="B197" s="51" t="s">
        <v>23</v>
      </c>
      <c r="C197" s="52" t="s">
        <v>193</v>
      </c>
      <c r="D197" s="58" t="s">
        <v>80</v>
      </c>
      <c r="E197" s="72">
        <f>E52+E76+E113+E162+E182</f>
        <v>27.87</v>
      </c>
      <c r="F197" s="171"/>
      <c r="G197" s="55">
        <f>E197*F197</f>
        <v>0</v>
      </c>
      <c r="H197" s="56"/>
    </row>
    <row r="198" spans="1:8" s="17" customFormat="1" ht="27" thickBot="1">
      <c r="A198" s="50">
        <f>A197+1</f>
        <v>175</v>
      </c>
      <c r="B198" s="51"/>
      <c r="C198" s="52" t="s">
        <v>191</v>
      </c>
      <c r="D198" s="58"/>
      <c r="E198" s="115">
        <v>9</v>
      </c>
      <c r="F198" s="171"/>
      <c r="G198" s="55"/>
      <c r="H198" s="56">
        <f>E198*F198</f>
        <v>0</v>
      </c>
    </row>
    <row r="199" spans="1:8" s="17" customFormat="1" ht="13.5" customHeight="1" thickBot="1">
      <c r="A199" s="163" t="s">
        <v>37</v>
      </c>
      <c r="B199" s="164"/>
      <c r="C199" s="164"/>
      <c r="D199" s="42"/>
      <c r="E199" s="116"/>
      <c r="F199" s="169"/>
      <c r="G199" s="43"/>
      <c r="H199" s="64">
        <f>SUM(G49:H198)</f>
        <v>0</v>
      </c>
    </row>
    <row r="200" spans="1:8" s="17" customFormat="1" ht="15.6" thickBot="1">
      <c r="A200" s="36" t="s">
        <v>21</v>
      </c>
      <c r="B200" s="65"/>
      <c r="C200" s="38" t="s">
        <v>69</v>
      </c>
      <c r="D200" s="39"/>
      <c r="E200" s="117"/>
      <c r="F200" s="167"/>
      <c r="G200" s="40"/>
      <c r="H200" s="41"/>
    </row>
    <row r="201" spans="1:8" s="17" customFormat="1" ht="26.4">
      <c r="A201" s="44">
        <f>A198+1</f>
        <v>176</v>
      </c>
      <c r="B201" s="45" t="s">
        <v>28</v>
      </c>
      <c r="C201" s="46" t="s">
        <v>194</v>
      </c>
      <c r="D201" s="74" t="s">
        <v>22</v>
      </c>
      <c r="E201" s="118">
        <v>2</v>
      </c>
      <c r="F201" s="176"/>
      <c r="G201" s="66"/>
      <c r="H201" s="75">
        <f>E201*F201</f>
        <v>0</v>
      </c>
    </row>
    <row r="202" spans="1:8" s="17" customFormat="1" ht="39.6">
      <c r="A202" s="50">
        <f>A201+1</f>
        <v>177</v>
      </c>
      <c r="B202" s="51" t="s">
        <v>28</v>
      </c>
      <c r="C202" s="52" t="s">
        <v>200</v>
      </c>
      <c r="D202" s="76" t="s">
        <v>34</v>
      </c>
      <c r="E202" s="119">
        <f>ROUND(14.2+10.1+9.9+23.2+37.9+11+12.7+3.1+1.4+12.4+8.4,0)*1.05</f>
        <v>151.20000000000002</v>
      </c>
      <c r="F202" s="168"/>
      <c r="G202" s="59"/>
      <c r="H202" s="77">
        <f>E202*F202</f>
        <v>0</v>
      </c>
    </row>
    <row r="203" spans="1:8" s="17" customFormat="1" ht="39.6">
      <c r="A203" s="50">
        <f t="shared" ref="A203:A204" si="46">A202+1</f>
        <v>178</v>
      </c>
      <c r="B203" s="51" t="s">
        <v>23</v>
      </c>
      <c r="C203" s="52" t="s">
        <v>196</v>
      </c>
      <c r="D203" s="76" t="s">
        <v>22</v>
      </c>
      <c r="E203" s="119">
        <f>E202/3*1.03</f>
        <v>51.912000000000006</v>
      </c>
      <c r="F203" s="168"/>
      <c r="G203" s="59">
        <f>E203*F203</f>
        <v>0</v>
      </c>
      <c r="H203" s="77"/>
    </row>
    <row r="204" spans="1:8" s="17" customFormat="1" ht="26.4">
      <c r="A204" s="50">
        <f t="shared" si="46"/>
        <v>179</v>
      </c>
      <c r="B204" s="51" t="s">
        <v>23</v>
      </c>
      <c r="C204" s="52" t="s">
        <v>195</v>
      </c>
      <c r="D204" s="76" t="s">
        <v>34</v>
      </c>
      <c r="E204" s="119">
        <f>E202</f>
        <v>151.20000000000002</v>
      </c>
      <c r="F204" s="168"/>
      <c r="G204" s="59">
        <f>E204*F204</f>
        <v>0</v>
      </c>
      <c r="H204" s="77"/>
    </row>
    <row r="205" spans="1:8" s="17" customFormat="1" ht="39.6">
      <c r="A205" s="50">
        <f>A202+1</f>
        <v>178</v>
      </c>
      <c r="B205" s="51" t="s">
        <v>28</v>
      </c>
      <c r="C205" s="52" t="s">
        <v>199</v>
      </c>
      <c r="D205" s="76" t="s">
        <v>34</v>
      </c>
      <c r="E205" s="119">
        <f>(5.6+21.3+19.3+18.4+21.9+22.9+39.3+31.6+32.4+36.9)*1.05</f>
        <v>262.08</v>
      </c>
      <c r="F205" s="168"/>
      <c r="G205" s="59"/>
      <c r="H205" s="77">
        <f>E205*F205</f>
        <v>0</v>
      </c>
    </row>
    <row r="206" spans="1:8" s="17" customFormat="1" ht="39.6">
      <c r="A206" s="50">
        <f>A203+1</f>
        <v>179</v>
      </c>
      <c r="B206" s="51" t="s">
        <v>23</v>
      </c>
      <c r="C206" s="52" t="s">
        <v>197</v>
      </c>
      <c r="D206" s="76" t="s">
        <v>22</v>
      </c>
      <c r="E206" s="119">
        <f>E205/3*1.03</f>
        <v>89.980800000000002</v>
      </c>
      <c r="F206" s="168"/>
      <c r="G206" s="59">
        <f>E206*F206</f>
        <v>0</v>
      </c>
      <c r="H206" s="77"/>
    </row>
    <row r="207" spans="1:8" s="17" customFormat="1" ht="27" thickBot="1">
      <c r="A207" s="60">
        <f>A206+1</f>
        <v>180</v>
      </c>
      <c r="B207" s="61" t="s">
        <v>23</v>
      </c>
      <c r="C207" s="62" t="s">
        <v>198</v>
      </c>
      <c r="D207" s="80" t="s">
        <v>34</v>
      </c>
      <c r="E207" s="121">
        <f>(5.6+21.3+19.3+18.4+21.9+22.9+39.3+31.6+32.4+36.9)*1.05</f>
        <v>262.08</v>
      </c>
      <c r="F207" s="173"/>
      <c r="G207" s="63">
        <f>E207*F207</f>
        <v>0</v>
      </c>
      <c r="H207" s="81"/>
    </row>
    <row r="208" spans="1:8" s="17" customFormat="1" ht="13.8" thickBot="1">
      <c r="A208" s="163" t="s">
        <v>70</v>
      </c>
      <c r="B208" s="164"/>
      <c r="C208" s="164"/>
      <c r="D208" s="42"/>
      <c r="E208" s="116"/>
      <c r="F208" s="43"/>
      <c r="G208" s="43"/>
      <c r="H208" s="64">
        <f>SUM(G201:H207)</f>
        <v>0</v>
      </c>
    </row>
    <row r="209" spans="1:8" s="8" customFormat="1" ht="13.8" thickBot="1">
      <c r="A209" s="82"/>
      <c r="B209" s="82"/>
      <c r="C209" s="82"/>
      <c r="D209" s="42"/>
      <c r="E209" s="42"/>
      <c r="F209" s="43"/>
      <c r="G209" s="43"/>
      <c r="H209" s="83"/>
    </row>
    <row r="210" spans="1:8" ht="30" customHeight="1" thickBot="1">
      <c r="A210" s="161" t="s">
        <v>25</v>
      </c>
      <c r="B210" s="162"/>
      <c r="C210" s="162"/>
      <c r="D210" s="42"/>
      <c r="E210" s="42"/>
      <c r="F210" s="153">
        <f>H46+H199+H208</f>
        <v>0</v>
      </c>
      <c r="G210" s="154"/>
      <c r="H210" s="155"/>
    </row>
    <row r="212" spans="1:8" s="11" customFormat="1" ht="30" customHeight="1">
      <c r="A212" s="158" t="s">
        <v>201</v>
      </c>
      <c r="B212" s="158"/>
      <c r="C212" s="158"/>
      <c r="D212" s="158"/>
      <c r="E212" s="158"/>
      <c r="F212" s="158"/>
      <c r="G212" s="158"/>
      <c r="H212" s="158"/>
    </row>
  </sheetData>
  <sheetProtection password="C6B9" sheet="1" objects="1" scenarios="1" selectLockedCells="1"/>
  <mergeCells count="11">
    <mergeCell ref="A1:H1"/>
    <mergeCell ref="A12:D12"/>
    <mergeCell ref="F210:H210"/>
    <mergeCell ref="E12:E13"/>
    <mergeCell ref="A212:H212"/>
    <mergeCell ref="F12:F13"/>
    <mergeCell ref="G12:H12"/>
    <mergeCell ref="A210:C210"/>
    <mergeCell ref="A46:C46"/>
    <mergeCell ref="A199:C199"/>
    <mergeCell ref="A208:C208"/>
  </mergeCells>
  <printOptions horizontalCentered="1"/>
  <pageMargins left="0.59055118110236227" right="0.59055118110236227" top="0.78740157480314965" bottom="0.78740157480314965" header="0.31496062992125984" footer="0.31496062992125984"/>
  <pageSetup paperSize="9" orientation="landscape" horizontalDpi="4294967294" verticalDpi="4294967294" r:id="rId1"/>
  <headerFooter>
    <oddHeader>&amp;R&amp;UPříloha č. 1&amp;U
&amp;"Arial,Kurzíva"Položkový rozpočet</oddHeader>
    <oddFooter>&amp;RStránka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Krycí list</vt:lpstr>
      <vt:lpstr>Rozpočet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Tinka</dc:creator>
  <cp:lastModifiedBy>Sedláček Zdeněk</cp:lastModifiedBy>
  <cp:lastPrinted>2016-03-15T07:45:51Z</cp:lastPrinted>
  <dcterms:created xsi:type="dcterms:W3CDTF">2012-10-11T20:37:08Z</dcterms:created>
  <dcterms:modified xsi:type="dcterms:W3CDTF">2016-07-20T06:55:55Z</dcterms:modified>
</cp:coreProperties>
</file>